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Documents\Clase\proyecto\TFG\TFG\"/>
    </mc:Choice>
  </mc:AlternateContent>
  <bookViews>
    <workbookView xWindow="0" yWindow="0" windowWidth="23040" windowHeight="9408" tabRatio="754"/>
  </bookViews>
  <sheets>
    <sheet name="Resultados" sheetId="12" r:id="rId1"/>
    <sheet name="Dimensionamiento" sheetId="1" r:id="rId2"/>
    <sheet name="Fisuración" sheetId="4" r:id="rId3"/>
    <sheet name="Flecha" sheetId="5" r:id="rId4"/>
    <sheet name="Datos" sheetId="3" r:id="rId5"/>
    <sheet name="Disp. Armaduras" sheetId="7" r:id="rId6"/>
    <sheet name="Dosificación" sheetId="8" r:id="rId7"/>
    <sheet name="Condiciones" sheetId="13" r:id="rId8"/>
    <sheet name="Medioambientales" sheetId="2" r:id="rId9"/>
    <sheet name="Económicos" sheetId="6" r:id="rId10"/>
    <sheet name="Sociales" sheetId="9" r:id="rId11"/>
    <sheet name="Máximos y mínimos" sheetId="10" r:id="rId12"/>
    <sheet name="Sostenibilidad" sheetId="11" r:id="rId13"/>
  </sheets>
  <definedNames>
    <definedName name="coef_Seg_Acero">Dimensionamiento!$C$26</definedName>
    <definedName name="Coef_Seg_Hormigón">Dimensionamiento!$C$27</definedName>
    <definedName name="Def_Lim_Elast_Acero">Dimensionamiento!$C$33</definedName>
    <definedName name="Def_Rotura_Hormigon">Dimensionamiento!$C$34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4" i="4"/>
  <c r="D6" i="4"/>
  <c r="C9" i="1"/>
  <c r="E8" i="4" s="1"/>
  <c r="C14" i="1" l="1"/>
  <c r="C15" i="1"/>
  <c r="J11" i="13"/>
  <c r="D15" i="2" l="1"/>
  <c r="O29" i="12" l="1"/>
  <c r="Q29" i="12" s="1"/>
  <c r="O28" i="12"/>
  <c r="Q28" i="12" s="1"/>
  <c r="H75" i="1"/>
  <c r="J75" i="1" s="1"/>
  <c r="H74" i="1"/>
  <c r="J74" i="1" s="1"/>
  <c r="E22" i="8" l="1"/>
  <c r="A11" i="7" l="1"/>
  <c r="M18" i="4" l="1"/>
  <c r="M17" i="4" s="1"/>
  <c r="M19" i="4" s="1"/>
  <c r="M16" i="4"/>
  <c r="B7" i="4"/>
  <c r="B9" i="4"/>
  <c r="B12" i="4"/>
  <c r="C30" i="1" l="1"/>
  <c r="C29" i="1"/>
  <c r="L24" i="9" l="1"/>
  <c r="L23" i="9"/>
  <c r="M24" i="13"/>
  <c r="M23" i="13"/>
  <c r="K24" i="13"/>
  <c r="K23" i="13"/>
  <c r="G24" i="13"/>
  <c r="M16" i="13"/>
  <c r="M43" i="11" s="1"/>
  <c r="L43" i="11" s="1"/>
  <c r="D18" i="2"/>
  <c r="K16" i="13"/>
  <c r="K17" i="13"/>
  <c r="A10" i="4" l="1"/>
  <c r="B5" i="5"/>
  <c r="A9" i="4"/>
  <c r="A7" i="4"/>
  <c r="E17" i="10" l="1"/>
  <c r="E16" i="10"/>
  <c r="E14" i="10"/>
  <c r="E15" i="10"/>
  <c r="E13" i="10" l="1"/>
  <c r="E12" i="10"/>
  <c r="H71" i="1"/>
  <c r="H31" i="12" s="1"/>
  <c r="D17" i="10" l="1"/>
  <c r="D16" i="10"/>
  <c r="D15" i="10"/>
  <c r="D14" i="10"/>
  <c r="D13" i="10"/>
  <c r="D12" i="10"/>
  <c r="F19" i="9" l="1"/>
  <c r="M57" i="11" s="1"/>
  <c r="L57" i="11" s="1"/>
  <c r="G9" i="8"/>
  <c r="G8" i="8"/>
  <c r="G7" i="8"/>
  <c r="G6" i="8"/>
  <c r="G5" i="8"/>
  <c r="G3" i="8"/>
  <c r="G4" i="8"/>
  <c r="E41" i="8"/>
  <c r="E40" i="8"/>
  <c r="E37" i="8"/>
  <c r="E26" i="8"/>
  <c r="E35" i="8"/>
  <c r="E32" i="8"/>
  <c r="E36" i="8" s="1"/>
  <c r="C20" i="1"/>
  <c r="B4" i="5" s="1"/>
  <c r="F7" i="5" s="1"/>
  <c r="B13" i="4" l="1"/>
  <c r="E9" i="4"/>
  <c r="B16" i="4"/>
  <c r="B14" i="4"/>
  <c r="G10" i="8"/>
  <c r="H68" i="1"/>
  <c r="H27" i="12" s="1"/>
  <c r="B15" i="4" l="1"/>
  <c r="L32" i="6"/>
  <c r="L34" i="6" l="1"/>
  <c r="M20" i="13"/>
  <c r="M21" i="13"/>
  <c r="M22" i="13"/>
  <c r="M19" i="13"/>
  <c r="M35" i="11"/>
  <c r="M25" i="11"/>
  <c r="J24" i="9"/>
  <c r="M16" i="9"/>
  <c r="L16" i="9"/>
  <c r="K16" i="9"/>
  <c r="J16" i="9"/>
  <c r="K18" i="13"/>
  <c r="K22" i="13"/>
  <c r="K21" i="13"/>
  <c r="K20" i="13"/>
  <c r="K19" i="13"/>
  <c r="K15" i="13"/>
  <c r="K14" i="13"/>
  <c r="K13" i="13"/>
  <c r="M13" i="13" s="1"/>
  <c r="K12" i="13"/>
  <c r="K10" i="13"/>
  <c r="K19" i="9" s="1"/>
  <c r="L19" i="9" s="1"/>
  <c r="K11" i="13"/>
  <c r="K60" i="11" s="1"/>
  <c r="K9" i="13"/>
  <c r="K8" i="13"/>
  <c r="K7" i="13"/>
  <c r="M15" i="9" s="1"/>
  <c r="K6" i="13"/>
  <c r="L15" i="9" s="1"/>
  <c r="K5" i="13"/>
  <c r="K15" i="9" s="1"/>
  <c r="K4" i="13"/>
  <c r="J15" i="9" s="1"/>
  <c r="M60" i="11" l="1"/>
  <c r="N20" i="13"/>
  <c r="M38" i="11" s="1"/>
  <c r="L38" i="11" s="1"/>
  <c r="M24" i="9"/>
  <c r="M51" i="11" s="1"/>
  <c r="L51" i="11" s="1"/>
  <c r="I51" i="11" s="1"/>
  <c r="N16" i="9"/>
  <c r="M47" i="11" s="1"/>
  <c r="L47" i="11" s="1"/>
  <c r="I47" i="11" s="1"/>
  <c r="J23" i="9"/>
  <c r="L60" i="11" l="1"/>
  <c r="I60" i="11" s="1"/>
  <c r="C9" i="12"/>
  <c r="C8" i="12"/>
  <c r="C7" i="12"/>
  <c r="C6" i="12"/>
  <c r="C5" i="12"/>
  <c r="J33" i="6"/>
  <c r="J32" i="6"/>
  <c r="D16" i="2" l="1"/>
  <c r="M40" i="11" s="1"/>
  <c r="L40" i="11" s="1"/>
  <c r="D17" i="2"/>
  <c r="M36" i="11" s="1"/>
  <c r="L36" i="11" s="1"/>
  <c r="D19" i="2"/>
  <c r="I43" i="11" s="1"/>
  <c r="D20" i="2"/>
  <c r="D23" i="9" l="1"/>
  <c r="M63" i="11" s="1"/>
  <c r="D19" i="9"/>
  <c r="L63" i="11" l="1"/>
  <c r="I63" i="11" s="1"/>
  <c r="C42" i="1" l="1"/>
  <c r="C40" i="1"/>
  <c r="C39" i="1"/>
  <c r="C44" i="1"/>
  <c r="C47" i="1"/>
  <c r="C45" i="1"/>
  <c r="V10" i="6"/>
  <c r="U10" i="6"/>
  <c r="T10" i="6"/>
  <c r="S10" i="6"/>
  <c r="R10" i="6"/>
  <c r="Q10" i="6"/>
  <c r="P10" i="6"/>
  <c r="C46" i="1" l="1"/>
  <c r="J19" i="9" l="1"/>
  <c r="Q3" i="1" l="1"/>
  <c r="H23" i="12" s="1"/>
  <c r="C8" i="10" l="1"/>
  <c r="D8" i="10"/>
  <c r="E27" i="10" l="1"/>
  <c r="E26" i="10"/>
  <c r="E29" i="10"/>
  <c r="E25" i="10"/>
  <c r="E28" i="10"/>
  <c r="E24" i="10"/>
  <c r="D27" i="10"/>
  <c r="D25" i="10"/>
  <c r="D26" i="10"/>
  <c r="D29" i="10"/>
  <c r="D28" i="10"/>
  <c r="D24" i="10"/>
  <c r="E15" i="9"/>
  <c r="D15" i="9"/>
  <c r="R32" i="8"/>
  <c r="G15" i="8" l="1"/>
  <c r="G16" i="8"/>
  <c r="G18" i="8"/>
  <c r="G19" i="8"/>
  <c r="G20" i="8"/>
  <c r="G14" i="8"/>
  <c r="K11" i="8"/>
  <c r="N18" i="8"/>
  <c r="K19" i="8"/>
  <c r="N17" i="8"/>
  <c r="K18" i="8" l="1"/>
  <c r="K17" i="8"/>
  <c r="K21" i="8" s="1"/>
  <c r="G17" i="8"/>
  <c r="C8" i="8"/>
  <c r="C7" i="8"/>
  <c r="C6" i="8"/>
  <c r="C5" i="8"/>
  <c r="C4" i="8"/>
  <c r="C10" i="8" l="1"/>
  <c r="P3" i="6" s="1"/>
  <c r="L41" i="2"/>
  <c r="F15" i="9" l="1"/>
  <c r="M54" i="11" s="1"/>
  <c r="L54" i="11" s="1"/>
  <c r="I56" i="11" s="1"/>
  <c r="F57" i="11" s="1"/>
  <c r="N7" i="12" s="1"/>
  <c r="X5" i="1" s="1"/>
  <c r="T7" i="4" s="1"/>
  <c r="M14" i="11"/>
  <c r="L14" i="11" s="1"/>
  <c r="B11" i="5"/>
  <c r="B8" i="5"/>
  <c r="B9" i="5" s="1"/>
  <c r="B7" i="5"/>
  <c r="B6" i="5"/>
  <c r="T17" i="8" l="1"/>
  <c r="Q6" i="13" s="1"/>
  <c r="R7" i="5"/>
  <c r="B10" i="5"/>
  <c r="H18" i="5" s="1"/>
  <c r="H21" i="5"/>
  <c r="B13" i="5"/>
  <c r="B12" i="5" s="1"/>
  <c r="B15" i="5" s="1"/>
  <c r="H23" i="5"/>
  <c r="I11" i="6"/>
  <c r="F11" i="6"/>
  <c r="K11" i="6" l="1"/>
  <c r="J11" i="6"/>
  <c r="L11" i="6"/>
  <c r="H11" i="6"/>
  <c r="G11" i="6"/>
  <c r="H26" i="6"/>
  <c r="F26" i="6"/>
  <c r="B5" i="6"/>
  <c r="H19" i="6"/>
  <c r="G19" i="6"/>
  <c r="B4" i="6"/>
  <c r="B3" i="6"/>
  <c r="F19" i="6" s="1"/>
  <c r="F8" i="5" l="1"/>
  <c r="N24" i="12" s="1"/>
  <c r="O11" i="4"/>
  <c r="O10" i="4"/>
  <c r="G12" i="4"/>
  <c r="G11" i="4"/>
  <c r="G9" i="4"/>
  <c r="G8" i="4"/>
  <c r="G7" i="4"/>
  <c r="P10" i="4" l="1"/>
  <c r="M10" i="4" s="1"/>
  <c r="G14" i="4"/>
  <c r="G32" i="6"/>
  <c r="G34" i="6" s="1"/>
  <c r="K41" i="2"/>
  <c r="F32" i="6" s="1"/>
  <c r="F34" i="6" s="1"/>
  <c r="L43" i="2" l="1"/>
  <c r="L44" i="2"/>
  <c r="L45" i="2"/>
  <c r="L46" i="2"/>
  <c r="L47" i="2"/>
  <c r="L42" i="2"/>
  <c r="K43" i="2"/>
  <c r="K44" i="2"/>
  <c r="K45" i="2"/>
  <c r="K46" i="2"/>
  <c r="K47" i="2"/>
  <c r="K42" i="2"/>
  <c r="M41" i="2" l="1"/>
  <c r="H32" i="6" s="1"/>
  <c r="H34" i="6" s="1"/>
  <c r="N41" i="2"/>
  <c r="I32" i="6" s="1"/>
  <c r="I34" i="6" s="1"/>
  <c r="N43" i="2" l="1"/>
  <c r="N47" i="2"/>
  <c r="N44" i="2"/>
  <c r="N42" i="2"/>
  <c r="N46" i="2"/>
  <c r="N45" i="2"/>
  <c r="M44" i="2"/>
  <c r="M45" i="2"/>
  <c r="M46" i="2"/>
  <c r="M43" i="2"/>
  <c r="M47" i="2"/>
  <c r="M42" i="2"/>
  <c r="G58" i="1" l="1"/>
  <c r="G9" i="1"/>
  <c r="H33" i="1" l="1"/>
  <c r="B16" i="5"/>
  <c r="G39" i="1"/>
  <c r="G51" i="1" l="1"/>
  <c r="K5" i="1"/>
  <c r="H7" i="12" s="1"/>
  <c r="K4" i="1"/>
  <c r="H6" i="12" s="1"/>
  <c r="K3" i="1"/>
  <c r="H5" i="12" s="1"/>
  <c r="O49" i="1"/>
  <c r="O42" i="1" l="1"/>
  <c r="C53" i="1" l="1"/>
  <c r="C52" i="1"/>
  <c r="G52" i="1" s="1"/>
  <c r="G53" i="1" s="1"/>
  <c r="G54" i="1" s="1"/>
  <c r="C51" i="1"/>
  <c r="G40" i="1" s="1"/>
  <c r="C25" i="1"/>
  <c r="C24" i="1"/>
  <c r="G45" i="1" l="1"/>
  <c r="G41" i="1"/>
  <c r="O48" i="1"/>
  <c r="O46" i="1" s="1"/>
  <c r="R47" i="1" s="1"/>
  <c r="C33" i="1"/>
  <c r="I57" i="1"/>
  <c r="G57" i="1"/>
  <c r="G17" i="1"/>
  <c r="O19" i="1"/>
  <c r="G18" i="1"/>
  <c r="G20" i="1" s="1"/>
  <c r="O11" i="1"/>
  <c r="G46" i="1" l="1"/>
  <c r="G47" i="1" s="1"/>
  <c r="G48" i="1" s="1"/>
  <c r="G10" i="1"/>
  <c r="I10" i="1" s="1"/>
  <c r="G42" i="1"/>
  <c r="Q48" i="1"/>
  <c r="Q49" i="1" s="1"/>
  <c r="I18" i="1"/>
  <c r="G21" i="1" s="1"/>
  <c r="G22" i="1" s="1"/>
  <c r="I22" i="1" s="1"/>
  <c r="C41" i="1"/>
  <c r="O12" i="1" l="1"/>
  <c r="O25" i="1"/>
  <c r="I11" i="1"/>
  <c r="G59" i="1" s="1"/>
  <c r="G62" i="1" s="1"/>
  <c r="G64" i="1" s="1"/>
  <c r="H34" i="1"/>
  <c r="O13" i="1"/>
  <c r="P38" i="1"/>
  <c r="P39" i="1" s="1"/>
  <c r="R39" i="1" s="1"/>
  <c r="G23" i="1"/>
  <c r="I23" i="1" s="1"/>
  <c r="P13" i="1"/>
  <c r="G12" i="1" l="1"/>
  <c r="G13" i="1" s="1"/>
  <c r="G60" i="1"/>
  <c r="G61" i="1" s="1"/>
  <c r="G63" i="1" s="1"/>
  <c r="G65" i="1" s="1"/>
  <c r="G66" i="1"/>
  <c r="G24" i="1"/>
  <c r="M4" i="1" l="1"/>
  <c r="O4" i="1" s="1"/>
  <c r="G14" i="1"/>
  <c r="H13" i="1"/>
  <c r="G12" i="12" s="1"/>
  <c r="H14" i="1"/>
  <c r="G13" i="12" s="1"/>
  <c r="N4" i="1"/>
  <c r="H72" i="1" s="1"/>
  <c r="J71" i="1" s="1"/>
  <c r="K31" i="12" s="1"/>
  <c r="G25" i="1"/>
  <c r="H31" i="1"/>
  <c r="H35" i="1" s="1"/>
  <c r="E16" i="1" l="1"/>
  <c r="E44" i="1"/>
  <c r="E50" i="1"/>
  <c r="E56" i="1"/>
  <c r="J31" i="12"/>
  <c r="J6" i="12"/>
  <c r="Q10" i="7"/>
  <c r="Q11" i="7" s="1"/>
  <c r="R11" i="7" s="1"/>
  <c r="Q12" i="7" s="1"/>
  <c r="F36" i="1"/>
  <c r="G14" i="12" s="1"/>
  <c r="J36" i="1"/>
  <c r="J14" i="12" s="1"/>
  <c r="G26" i="1"/>
  <c r="I46" i="1" s="1"/>
  <c r="E38" i="1"/>
  <c r="Q14" i="7" l="1"/>
  <c r="Q15" i="7" s="1"/>
  <c r="Q13" i="7"/>
  <c r="S11" i="7"/>
  <c r="I40" i="1"/>
  <c r="G27" i="1"/>
  <c r="M3" i="1" l="1"/>
  <c r="N3" i="1" s="1"/>
  <c r="H69" i="1" s="1"/>
  <c r="J68" i="1" s="1"/>
  <c r="I47" i="1"/>
  <c r="G28" i="1"/>
  <c r="I41" i="1"/>
  <c r="K27" i="12" l="1"/>
  <c r="G11" i="7"/>
  <c r="Q21" i="1"/>
  <c r="O21" i="1" s="1"/>
  <c r="O23" i="1" s="1"/>
  <c r="G30" i="7" s="1"/>
  <c r="G31" i="7" s="1"/>
  <c r="Q4" i="1"/>
  <c r="G12" i="7"/>
  <c r="G13" i="7" s="1"/>
  <c r="J5" i="12"/>
  <c r="G15" i="4"/>
  <c r="O3" i="1"/>
  <c r="M15" i="4" l="1"/>
  <c r="H17" i="4"/>
  <c r="J23" i="12"/>
  <c r="Q5" i="1"/>
  <c r="K23" i="12" s="1"/>
  <c r="G39" i="7"/>
  <c r="K11" i="7"/>
  <c r="K12" i="7" s="1"/>
  <c r="L12" i="7" s="1"/>
  <c r="J27" i="12"/>
  <c r="M9" i="4"/>
  <c r="M8" i="4" s="1"/>
  <c r="M7" i="4" s="1"/>
  <c r="B14" i="5"/>
  <c r="M13" i="5" s="1"/>
  <c r="M15" i="5" s="1"/>
  <c r="M13" i="12"/>
  <c r="O26" i="1"/>
  <c r="O32" i="1"/>
  <c r="O33" i="1" s="1"/>
  <c r="O41" i="1" s="1"/>
  <c r="Q41" i="1" s="1"/>
  <c r="Q42" i="1" s="1"/>
  <c r="O27" i="1"/>
  <c r="P26" i="1"/>
  <c r="I17" i="12" s="1"/>
  <c r="F28" i="7" l="1"/>
  <c r="G32" i="7"/>
  <c r="G33" i="7" s="1"/>
  <c r="H33" i="7" s="1"/>
  <c r="G34" i="7" s="1"/>
  <c r="G35" i="7" s="1"/>
  <c r="K13" i="7"/>
  <c r="K14" i="7" s="1"/>
  <c r="K15" i="7" s="1"/>
  <c r="K16" i="7" s="1"/>
  <c r="M12" i="7"/>
  <c r="J18" i="12"/>
  <c r="G38" i="7"/>
  <c r="G40" i="7" s="1"/>
  <c r="G41" i="7" s="1"/>
  <c r="M20" i="4"/>
  <c r="M22" i="4" s="1"/>
  <c r="O22" i="4" s="1"/>
  <c r="M16" i="12" s="1"/>
  <c r="H27" i="5"/>
  <c r="G19" i="12"/>
  <c r="H18" i="12"/>
  <c r="M45" i="1"/>
  <c r="N6" i="1"/>
  <c r="J8" i="12" s="1"/>
  <c r="M5" i="1"/>
  <c r="J7" i="12" s="1"/>
  <c r="K18" i="12"/>
  <c r="M30" i="1"/>
  <c r="I29" i="7" l="1"/>
  <c r="C9" i="8"/>
  <c r="K32" i="6" s="1"/>
  <c r="K34" i="6" s="1"/>
  <c r="H25" i="5"/>
  <c r="G24" i="4" s="1"/>
  <c r="I24" i="4" s="1"/>
  <c r="Q19" i="12" s="1"/>
  <c r="H40" i="7"/>
  <c r="G42" i="7"/>
  <c r="I63" i="2" s="1"/>
  <c r="Q8" i="2" l="1"/>
  <c r="Q14" i="2" s="1"/>
  <c r="I66" i="2"/>
  <c r="I69" i="2"/>
  <c r="I65" i="2"/>
  <c r="I68" i="2"/>
  <c r="I64" i="2"/>
  <c r="I67" i="2"/>
  <c r="L8" i="2"/>
  <c r="L14" i="2" s="1"/>
  <c r="K19" i="2"/>
  <c r="K22" i="2" s="1"/>
  <c r="K8" i="2"/>
  <c r="K10" i="2" s="1"/>
  <c r="M19" i="2"/>
  <c r="M22" i="2" s="1"/>
  <c r="P8" i="2"/>
  <c r="P10" i="2" s="1"/>
  <c r="M8" i="2"/>
  <c r="M11" i="2" s="1"/>
  <c r="O8" i="2"/>
  <c r="O14" i="2" s="1"/>
  <c r="C14" i="7"/>
  <c r="L30" i="2"/>
  <c r="L32" i="2" s="1"/>
  <c r="N8" i="2"/>
  <c r="N13" i="2" s="1"/>
  <c r="L19" i="2"/>
  <c r="L21" i="2" s="1"/>
  <c r="K30" i="2"/>
  <c r="K32" i="2" s="1"/>
  <c r="G27" i="4"/>
  <c r="I27" i="4" s="1"/>
  <c r="Q20" i="12" s="1"/>
  <c r="H15" i="5"/>
  <c r="O10" i="2"/>
  <c r="L25" i="11"/>
  <c r="F37" i="6"/>
  <c r="F40" i="6" s="1"/>
  <c r="I5" i="2"/>
  <c r="F23" i="2" s="1"/>
  <c r="Q11" i="2" l="1"/>
  <c r="Q10" i="2"/>
  <c r="Q12" i="2"/>
  <c r="G10" i="6"/>
  <c r="G12" i="6" s="1"/>
  <c r="L10" i="6"/>
  <c r="L12" i="6" s="1"/>
  <c r="Q9" i="2"/>
  <c r="Q13" i="2"/>
  <c r="H13" i="5"/>
  <c r="M17" i="5" s="1"/>
  <c r="M22" i="5" s="1"/>
  <c r="K35" i="2"/>
  <c r="L9" i="2"/>
  <c r="K20" i="2"/>
  <c r="L13" i="2"/>
  <c r="K25" i="2"/>
  <c r="L11" i="2"/>
  <c r="L10" i="2"/>
  <c r="P13" i="2"/>
  <c r="K24" i="2"/>
  <c r="L12" i="2"/>
  <c r="K12" i="2"/>
  <c r="M25" i="2"/>
  <c r="M23" i="2"/>
  <c r="O11" i="2"/>
  <c r="M21" i="2"/>
  <c r="M24" i="2"/>
  <c r="G18" i="6"/>
  <c r="G20" i="6" s="1"/>
  <c r="O12" i="2"/>
  <c r="K11" i="2"/>
  <c r="K14" i="2"/>
  <c r="K21" i="2"/>
  <c r="F10" i="6"/>
  <c r="F12" i="6" s="1"/>
  <c r="K13" i="2"/>
  <c r="O9" i="2"/>
  <c r="F18" i="6"/>
  <c r="F20" i="6" s="1"/>
  <c r="J10" i="6"/>
  <c r="J12" i="6" s="1"/>
  <c r="K23" i="2"/>
  <c r="O13" i="2"/>
  <c r="K9" i="2"/>
  <c r="P14" i="2"/>
  <c r="M20" i="2"/>
  <c r="H18" i="6"/>
  <c r="H20" i="6" s="1"/>
  <c r="M14" i="2"/>
  <c r="G25" i="6"/>
  <c r="G27" i="6" s="1"/>
  <c r="P9" i="2"/>
  <c r="M10" i="2"/>
  <c r="N10" i="2"/>
  <c r="L31" i="2"/>
  <c r="H10" i="6"/>
  <c r="H12" i="6" s="1"/>
  <c r="K34" i="2"/>
  <c r="M12" i="2"/>
  <c r="M9" i="2"/>
  <c r="L35" i="2"/>
  <c r="P11" i="2"/>
  <c r="M13" i="2"/>
  <c r="P12" i="2"/>
  <c r="K10" i="6"/>
  <c r="K12" i="6" s="1"/>
  <c r="K33" i="2"/>
  <c r="K31" i="2"/>
  <c r="L25" i="2"/>
  <c r="L24" i="2"/>
  <c r="L20" i="2"/>
  <c r="L34" i="2"/>
  <c r="L23" i="2"/>
  <c r="L22" i="2"/>
  <c r="N12" i="2"/>
  <c r="N11" i="2"/>
  <c r="L33" i="2"/>
  <c r="N9" i="2"/>
  <c r="N14" i="2"/>
  <c r="L36" i="2"/>
  <c r="I10" i="6"/>
  <c r="I12" i="6" s="1"/>
  <c r="F25" i="6"/>
  <c r="F27" i="6" s="1"/>
  <c r="K36" i="2"/>
  <c r="F41" i="6"/>
  <c r="G41" i="6" s="1"/>
  <c r="G40" i="6"/>
  <c r="L52" i="2"/>
  <c r="K52" i="2"/>
  <c r="K58" i="2" s="1"/>
  <c r="O41" i="2"/>
  <c r="P24" i="12" l="1"/>
  <c r="O22" i="5"/>
  <c r="Q24" i="12" s="1"/>
  <c r="K53" i="2"/>
  <c r="L54" i="2"/>
  <c r="L55" i="2"/>
  <c r="L57" i="2"/>
  <c r="L58" i="2"/>
  <c r="L56" i="2"/>
  <c r="L53" i="2"/>
  <c r="K55" i="2"/>
  <c r="K57" i="2"/>
  <c r="K56" i="2"/>
  <c r="K54" i="2"/>
  <c r="O44" i="2"/>
  <c r="J34" i="6"/>
  <c r="O47" i="2"/>
  <c r="O46" i="2"/>
  <c r="O45" i="2"/>
  <c r="O43" i="2"/>
  <c r="O42" i="2"/>
  <c r="W6" i="1" l="1"/>
  <c r="S8" i="4" s="1"/>
  <c r="C9" i="2"/>
  <c r="C8" i="2"/>
  <c r="C11" i="2"/>
  <c r="C10" i="2"/>
  <c r="C6" i="2"/>
  <c r="C7" i="2"/>
  <c r="M21" i="11" s="1"/>
  <c r="S18" i="8" l="1"/>
  <c r="P7" i="13" s="1"/>
  <c r="Q8" i="5"/>
  <c r="M30" i="11"/>
  <c r="L30" i="11" s="1"/>
  <c r="M19" i="11"/>
  <c r="L19" i="11" s="1"/>
  <c r="M32" i="11"/>
  <c r="L32" i="11" s="1"/>
  <c r="M23" i="11"/>
  <c r="L23" i="11" s="1"/>
  <c r="M28" i="11"/>
  <c r="L28" i="11" s="1"/>
  <c r="H25" i="6"/>
  <c r="H27" i="6" s="1"/>
  <c r="I3" i="6" s="1"/>
  <c r="L21" i="11"/>
  <c r="I38" i="11"/>
  <c r="I30" i="11" l="1"/>
  <c r="I22" i="11"/>
  <c r="F32" i="11" l="1"/>
  <c r="N6" i="12" s="1"/>
  <c r="X4" i="1" s="1"/>
  <c r="T6" i="4" s="1"/>
  <c r="M8" i="11"/>
  <c r="T16" i="8" l="1"/>
  <c r="Q5" i="13" s="1"/>
  <c r="R6" i="5"/>
  <c r="L8" i="11"/>
  <c r="I11" i="11" s="1"/>
  <c r="F11" i="11" s="1"/>
  <c r="C31" i="11" l="1"/>
  <c r="N4" i="12" s="1"/>
  <c r="X2" i="1" s="1"/>
  <c r="T4" i="4" s="1"/>
  <c r="N5" i="12"/>
  <c r="X3" i="1" s="1"/>
  <c r="T5" i="4" s="1"/>
  <c r="T15" i="8" l="1"/>
  <c r="Q4" i="13" s="1"/>
  <c r="R5" i="5"/>
  <c r="T14" i="8"/>
  <c r="Q3" i="13" s="1"/>
  <c r="R4" i="5"/>
</calcChain>
</file>

<file path=xl/sharedStrings.xml><?xml version="1.0" encoding="utf-8"?>
<sst xmlns="http://schemas.openxmlformats.org/spreadsheetml/2006/main" count="1147" uniqueCount="643">
  <si>
    <t>DATOS</t>
  </si>
  <si>
    <t>L=</t>
  </si>
  <si>
    <t>h=</t>
  </si>
  <si>
    <t>b=</t>
  </si>
  <si>
    <t>E =</t>
  </si>
  <si>
    <t>kN</t>
  </si>
  <si>
    <t>m</t>
  </si>
  <si>
    <t>Mpa</t>
  </si>
  <si>
    <t>MPa</t>
  </si>
  <si>
    <t>mm</t>
  </si>
  <si>
    <t>(adimens.)</t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</si>
  <si>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</si>
  <si>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</si>
  <si>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1"/>
        <color theme="1"/>
        <rFont val="Calibri"/>
        <family val="2"/>
      </rPr>
      <t>yk</t>
    </r>
    <r>
      <rPr>
        <b/>
        <sz val="11"/>
        <color theme="1"/>
        <rFont val="Calibri"/>
        <family val="2"/>
      </rPr>
      <t xml:space="preserve"> =</t>
    </r>
  </si>
  <si>
    <r>
      <t>f</t>
    </r>
    <r>
      <rPr>
        <b/>
        <vertAlign val="subscript"/>
        <sz val="11"/>
        <color theme="1"/>
        <rFont val="Calibri"/>
        <family val="2"/>
      </rPr>
      <t>ck</t>
    </r>
    <r>
      <rPr>
        <b/>
        <sz val="11"/>
        <color theme="1"/>
        <rFont val="Calibri"/>
        <family val="2"/>
      </rPr>
      <t xml:space="preserve"> =</t>
    </r>
  </si>
  <si>
    <r>
      <t>f</t>
    </r>
    <r>
      <rPr>
        <b/>
        <vertAlign val="subscript"/>
        <sz val="11"/>
        <color theme="1"/>
        <rFont val="Calibri"/>
        <family val="2"/>
      </rPr>
      <t>yd</t>
    </r>
    <r>
      <rPr>
        <b/>
        <sz val="11"/>
        <color theme="1"/>
        <rFont val="Calibri"/>
        <family val="2"/>
      </rPr>
      <t xml:space="preserve"> =</t>
    </r>
  </si>
  <si>
    <r>
      <t>f</t>
    </r>
    <r>
      <rPr>
        <b/>
        <vertAlign val="subscript"/>
        <sz val="11"/>
        <color theme="1"/>
        <rFont val="Calibri"/>
        <family val="2"/>
      </rPr>
      <t>cd</t>
    </r>
    <r>
      <rPr>
        <b/>
        <sz val="11"/>
        <color theme="1"/>
        <rFont val="Calibri"/>
        <family val="2"/>
      </rPr>
      <t xml:space="preserve"> =</t>
    </r>
  </si>
  <si>
    <r>
      <rPr>
        <b/>
        <sz val="11"/>
        <color theme="1"/>
        <rFont val="Calibri"/>
        <family val="2"/>
      </rPr>
      <t>γ</t>
    </r>
    <r>
      <rPr>
        <b/>
        <vertAlign val="subscript"/>
        <sz val="11"/>
        <color theme="1"/>
        <rFont val="Calibri"/>
        <family val="2"/>
      </rPr>
      <t>s</t>
    </r>
    <r>
      <rPr>
        <b/>
        <sz val="11"/>
        <color theme="1"/>
        <rFont val="Calibri"/>
        <family val="2"/>
      </rPr>
      <t xml:space="preserve"> =</t>
    </r>
  </si>
  <si>
    <r>
      <rPr>
        <b/>
        <sz val="11"/>
        <color theme="1"/>
        <rFont val="Calibri"/>
        <family val="2"/>
      </rPr>
      <t>γ</t>
    </r>
    <r>
      <rPr>
        <b/>
        <vertAlign val="subscript"/>
        <sz val="11"/>
        <color theme="1"/>
        <rFont val="Calibri"/>
        <family val="2"/>
      </rPr>
      <t>c</t>
    </r>
    <r>
      <rPr>
        <b/>
        <sz val="11"/>
        <color theme="1"/>
        <rFont val="Calibri"/>
        <family val="2"/>
      </rPr>
      <t xml:space="preserve"> =</t>
    </r>
  </si>
  <si>
    <r>
      <t>ε</t>
    </r>
    <r>
      <rPr>
        <b/>
        <vertAlign val="subscript"/>
        <sz val="11"/>
        <color theme="1"/>
        <rFont val="Calibri"/>
        <family val="2"/>
      </rPr>
      <t>y</t>
    </r>
    <r>
      <rPr>
        <b/>
        <sz val="11"/>
        <color theme="1"/>
        <rFont val="Calibri"/>
        <family val="2"/>
      </rPr>
      <t xml:space="preserve"> =</t>
    </r>
  </si>
  <si>
    <r>
      <t>ε</t>
    </r>
    <r>
      <rPr>
        <b/>
        <vertAlign val="subscript"/>
        <sz val="11"/>
        <color theme="1"/>
        <rFont val="Calibri"/>
        <family val="2"/>
      </rPr>
      <t>cu</t>
    </r>
    <r>
      <rPr>
        <b/>
        <sz val="11"/>
        <color theme="1"/>
        <rFont val="Calibri"/>
        <family val="2"/>
      </rPr>
      <t xml:space="preserve"> =</t>
    </r>
  </si>
  <si>
    <r>
      <t>D</t>
    </r>
    <r>
      <rPr>
        <b/>
        <vertAlign val="subscript"/>
        <sz val="11"/>
        <color theme="1"/>
        <rFont val="Calibri"/>
        <family val="2"/>
      </rPr>
      <t>max</t>
    </r>
    <r>
      <rPr>
        <b/>
        <sz val="11"/>
        <color theme="1"/>
        <rFont val="Calibri"/>
        <family val="2"/>
      </rPr>
      <t xml:space="preserve"> =</t>
    </r>
  </si>
  <si>
    <r>
      <t>r+</t>
    </r>
    <r>
      <rPr>
        <b/>
        <sz val="11"/>
        <color theme="1"/>
        <rFont val="Calibri"/>
        <family val="2"/>
      </rPr>
      <t>Δr =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</si>
  <si>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=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</si>
  <si>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=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</si>
  <si>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=</t>
    </r>
  </si>
  <si>
    <t>kN·m</t>
  </si>
  <si>
    <r>
      <rPr>
        <b/>
        <sz val="11"/>
        <color indexed="8"/>
        <rFont val="Calibri"/>
        <family val="2"/>
      </rPr>
      <t>Ø</t>
    </r>
    <r>
      <rPr>
        <b/>
        <vertAlign val="subscript"/>
        <sz val="11"/>
        <color indexed="8"/>
        <rFont val="Calibri"/>
        <family val="2"/>
      </rPr>
      <t>1 (inferior)</t>
    </r>
    <r>
      <rPr>
        <b/>
        <sz val="11"/>
        <color indexed="8"/>
        <rFont val="Calibri"/>
        <family val="2"/>
      </rPr>
      <t xml:space="preserve"> =</t>
    </r>
  </si>
  <si>
    <r>
      <rPr>
        <b/>
        <sz val="11"/>
        <color indexed="8"/>
        <rFont val="Calibri"/>
        <family val="2"/>
      </rPr>
      <t>Ø</t>
    </r>
    <r>
      <rPr>
        <b/>
        <vertAlign val="subscript"/>
        <sz val="11"/>
        <color indexed="8"/>
        <rFont val="Calibri"/>
        <family val="2"/>
      </rPr>
      <t>2 (superior)</t>
    </r>
    <r>
      <rPr>
        <b/>
        <sz val="11"/>
        <color indexed="8"/>
        <rFont val="Calibri"/>
        <family val="2"/>
      </rPr>
      <t xml:space="preserve"> =</t>
    </r>
  </si>
  <si>
    <r>
      <rPr>
        <b/>
        <sz val="11"/>
        <color indexed="8"/>
        <rFont val="Calibri"/>
        <family val="2"/>
      </rPr>
      <t>Ø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</t>
    </r>
  </si>
  <si>
    <r>
      <rPr>
        <b/>
        <sz val="11"/>
        <color indexed="8"/>
        <rFont val="Calibri"/>
        <family val="2"/>
      </rPr>
      <t>A</t>
    </r>
    <r>
      <rPr>
        <b/>
        <vertAlign val="subscript"/>
        <sz val="11"/>
        <color indexed="8"/>
        <rFont val="Calibri"/>
        <family val="2"/>
      </rPr>
      <t>Ø1 (inferior)</t>
    </r>
    <r>
      <rPr>
        <b/>
        <sz val="11"/>
        <color indexed="8"/>
        <rFont val="Calibri"/>
        <family val="2"/>
      </rPr>
      <t xml:space="preserve"> =</t>
    </r>
  </si>
  <si>
    <r>
      <t>mm</t>
    </r>
    <r>
      <rPr>
        <vertAlign val="superscript"/>
        <sz val="11"/>
        <color indexed="8"/>
        <rFont val="Calibri"/>
        <family val="2"/>
      </rPr>
      <t>2</t>
    </r>
  </si>
  <si>
    <r>
      <rPr>
        <b/>
        <sz val="11"/>
        <color indexed="8"/>
        <rFont val="Calibri"/>
        <family val="2"/>
      </rPr>
      <t>A</t>
    </r>
    <r>
      <rPr>
        <b/>
        <vertAlign val="subscript"/>
        <sz val="11"/>
        <color indexed="8"/>
        <rFont val="Calibri"/>
        <family val="2"/>
      </rPr>
      <t>Ø2 (superior)</t>
    </r>
    <r>
      <rPr>
        <b/>
        <sz val="11"/>
        <color indexed="8"/>
        <rFont val="Calibri"/>
        <family val="2"/>
      </rPr>
      <t xml:space="preserve"> =</t>
    </r>
  </si>
  <si>
    <r>
      <rPr>
        <b/>
        <sz val="11"/>
        <color indexed="8"/>
        <rFont val="Calibri"/>
        <family val="2"/>
      </rPr>
      <t>A</t>
    </r>
    <r>
      <rPr>
        <b/>
        <vertAlign val="subscript"/>
        <sz val="11"/>
        <color indexed="8"/>
        <rFont val="Calibri"/>
        <family val="2"/>
      </rPr>
      <t>Øt</t>
    </r>
    <r>
      <rPr>
        <b/>
        <sz val="11"/>
        <color indexed="8"/>
        <rFont val="Calibri"/>
        <family val="2"/>
      </rPr>
      <t xml:space="preserve"> =</t>
    </r>
  </si>
  <si>
    <t>d=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</si>
  <si>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lim</t>
    </r>
    <r>
      <rPr>
        <b/>
        <sz val="11"/>
        <color theme="1"/>
        <rFont val="Calibri"/>
        <family val="2"/>
        <scheme val="minor"/>
      </rPr>
      <t>=</t>
    </r>
  </si>
  <si>
    <t>· d =</t>
  </si>
  <si>
    <r>
      <t>y</t>
    </r>
    <r>
      <rPr>
        <b/>
        <vertAlign val="subscript"/>
        <sz val="11"/>
        <color theme="1"/>
        <rFont val="Calibri"/>
        <family val="2"/>
        <scheme val="minor"/>
      </rPr>
      <t>lim</t>
    </r>
    <r>
      <rPr>
        <b/>
        <sz val="11"/>
        <color theme="1"/>
        <rFont val="Calibri"/>
        <family val="2"/>
        <scheme val="minor"/>
      </rPr>
      <t>=</t>
    </r>
  </si>
  <si>
    <r>
      <t>· x</t>
    </r>
    <r>
      <rPr>
        <vertAlign val="subscript"/>
        <sz val="11"/>
        <color theme="1"/>
        <rFont val="Calibri"/>
        <family val="2"/>
        <scheme val="minor"/>
      </rPr>
      <t xml:space="preserve">lim </t>
    </r>
    <r>
      <rPr>
        <sz val="11"/>
        <color theme="1"/>
        <rFont val="Calibri"/>
        <family val="2"/>
        <scheme val="minor"/>
      </rPr>
      <t>=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</si>
  <si>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lim</t>
    </r>
    <r>
      <rPr>
        <b/>
        <sz val="11"/>
        <color theme="1"/>
        <rFont val="Calibri"/>
        <family val="2"/>
        <scheme val="minor"/>
      </rPr>
      <t>=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</si>
  <si>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&lt;M</t>
    </r>
    <r>
      <rPr>
        <b/>
        <vertAlign val="subscript"/>
        <sz val="11"/>
        <color theme="1"/>
        <rFont val="Calibri"/>
        <family val="2"/>
        <scheme val="minor"/>
      </rPr>
      <t>lim</t>
    </r>
    <r>
      <rPr>
        <b/>
        <sz val="11"/>
        <color theme="1"/>
        <rFont val="Calibri"/>
        <family val="2"/>
        <scheme val="minor"/>
      </rPr>
      <t xml:space="preserve"> ?</t>
    </r>
  </si>
  <si>
    <r>
      <t>Cálculo de A</t>
    </r>
    <r>
      <rPr>
        <b/>
        <vertAlign val="subscript"/>
        <sz val="11"/>
        <color theme="1"/>
        <rFont val="Calibri"/>
        <family val="2"/>
        <scheme val="minor"/>
      </rPr>
      <t>s1</t>
    </r>
  </si>
  <si>
    <t>y=</t>
  </si>
  <si>
    <t>=0</t>
  </si>
  <si>
    <r>
      <t>· A</t>
    </r>
    <r>
      <rPr>
        <b/>
        <u val="doubleAccounting"/>
        <vertAlign val="subscript"/>
        <sz val="11"/>
        <color theme="1"/>
        <rFont val="Calibri"/>
        <family val="2"/>
        <scheme val="minor"/>
      </rPr>
      <t>S1</t>
    </r>
  </si>
  <si>
    <t>· y   +</t>
  </si>
  <si>
    <t>a =</t>
  </si>
  <si>
    <t>Param. a de la ecuación de 2º grado</t>
  </si>
  <si>
    <t>b =</t>
  </si>
  <si>
    <t>Param. b de la ecuación de 2º grado</t>
  </si>
  <si>
    <t>c =</t>
  </si>
  <si>
    <t>Param. c de la ecuación de 2º grado</t>
  </si>
  <si>
    <r>
      <t>y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</t>
    </r>
  </si>
  <si>
    <r>
      <t>y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=</t>
    </r>
  </si>
  <si>
    <r>
      <t>y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=</t>
    </r>
  </si>
  <si>
    <t>y =</t>
  </si>
  <si>
    <r>
      <t>A</t>
    </r>
    <r>
      <rPr>
        <b/>
        <vertAlign val="subscript"/>
        <sz val="11"/>
        <color indexed="8"/>
        <rFont val="Calibri"/>
        <family val="2"/>
      </rPr>
      <t>s1</t>
    </r>
    <r>
      <rPr>
        <b/>
        <sz val="11"/>
        <color indexed="8"/>
        <rFont val="Calibri"/>
        <family val="2"/>
      </rPr>
      <t xml:space="preserve"> (teórico) =</t>
    </r>
  </si>
  <si>
    <t>Nº de barras =</t>
  </si>
  <si>
    <r>
      <t>A</t>
    </r>
    <r>
      <rPr>
        <b/>
        <vertAlign val="subscript"/>
        <sz val="11"/>
        <color indexed="8"/>
        <rFont val="Calibri"/>
        <family val="2"/>
      </rPr>
      <t>s1</t>
    </r>
    <r>
      <rPr>
        <b/>
        <sz val="11"/>
        <color indexed="8"/>
        <rFont val="Calibri"/>
        <family val="2"/>
      </rPr>
      <t xml:space="preserve"> (real) =</t>
    </r>
  </si>
  <si>
    <t>Nº teor. barras =</t>
  </si>
  <si>
    <t>Dimensionamiento a flexión</t>
  </si>
  <si>
    <t>Dimensionamiento a cortante</t>
  </si>
  <si>
    <r>
      <t>Comprobación de agotamiento por compresión de bielas (V</t>
    </r>
    <r>
      <rPr>
        <b/>
        <vertAlign val="subscript"/>
        <sz val="11"/>
        <color indexed="8"/>
        <rFont val="Calibri"/>
        <family val="2"/>
      </rPr>
      <t>u1</t>
    </r>
    <r>
      <rPr>
        <b/>
        <sz val="11"/>
        <color indexed="8"/>
        <rFont val="Calibri"/>
        <family val="2"/>
      </rPr>
      <t>)</t>
    </r>
  </si>
  <si>
    <r>
      <t>V</t>
    </r>
    <r>
      <rPr>
        <b/>
        <vertAlign val="subscript"/>
        <sz val="11"/>
        <color indexed="8"/>
        <rFont val="Calibri"/>
        <family val="2"/>
      </rPr>
      <t>u1</t>
    </r>
    <r>
      <rPr>
        <b/>
        <sz val="11"/>
        <color indexed="8"/>
        <rFont val="Calibri"/>
        <family val="2"/>
      </rPr>
      <t xml:space="preserve"> =</t>
    </r>
  </si>
  <si>
    <r>
      <t>Agotamiento por tracción soportada por el hormigón y la A</t>
    </r>
    <r>
      <rPr>
        <b/>
        <vertAlign val="subscript"/>
        <sz val="11"/>
        <color indexed="8"/>
        <rFont val="Calibri"/>
        <family val="2"/>
      </rPr>
      <t>α</t>
    </r>
    <r>
      <rPr>
        <b/>
        <sz val="11"/>
        <color indexed="8"/>
        <rFont val="Calibri"/>
        <family val="2"/>
      </rPr>
      <t xml:space="preserve"> (V</t>
    </r>
    <r>
      <rPr>
        <b/>
        <vertAlign val="subscript"/>
        <sz val="11"/>
        <color indexed="8"/>
        <rFont val="Calibri"/>
        <family val="2"/>
      </rPr>
      <t>u2</t>
    </r>
    <r>
      <rPr>
        <b/>
        <sz val="11"/>
        <color indexed="8"/>
        <rFont val="Calibri"/>
        <family val="2"/>
      </rPr>
      <t>)</t>
    </r>
  </si>
  <si>
    <r>
      <t>Contribución del hormigón (V</t>
    </r>
    <r>
      <rPr>
        <b/>
        <vertAlign val="subscript"/>
        <sz val="11"/>
        <color indexed="8"/>
        <rFont val="Calibri"/>
        <family val="2"/>
      </rPr>
      <t>cu</t>
    </r>
    <r>
      <rPr>
        <b/>
        <sz val="11"/>
        <color indexed="8"/>
        <rFont val="Calibri"/>
        <family val="2"/>
      </rPr>
      <t>)</t>
    </r>
  </si>
  <si>
    <t>ξ = coeficiente de efecto de engranamiento de áridos</t>
  </si>
  <si>
    <t>ξ =</t>
  </si>
  <si>
    <r>
      <t>ρ</t>
    </r>
    <r>
      <rPr>
        <b/>
        <vertAlign val="subscript"/>
        <sz val="11"/>
        <color indexed="8"/>
        <rFont val="Calibri"/>
        <family val="2"/>
      </rPr>
      <t>l</t>
    </r>
    <r>
      <rPr>
        <b/>
        <sz val="11"/>
        <color indexed="8"/>
        <rFont val="Calibri"/>
        <family val="2"/>
      </rPr>
      <t xml:space="preserve"> = cuantía geom. de A</t>
    </r>
    <r>
      <rPr>
        <b/>
        <vertAlign val="subscript"/>
        <sz val="11"/>
        <color indexed="8"/>
        <rFont val="Calibri"/>
        <family val="2"/>
      </rPr>
      <t>s1</t>
    </r>
    <r>
      <rPr>
        <b/>
        <sz val="11"/>
        <color indexed="8"/>
        <rFont val="Calibri"/>
        <family val="2"/>
      </rPr>
      <t>, que posibilita los efectos de arco y pasador</t>
    </r>
  </si>
  <si>
    <r>
      <t>ρ</t>
    </r>
    <r>
      <rPr>
        <b/>
        <vertAlign val="subscript"/>
        <sz val="11"/>
        <color indexed="8"/>
        <rFont val="Calibri"/>
        <family val="2"/>
      </rPr>
      <t>l</t>
    </r>
    <r>
      <rPr>
        <b/>
        <sz val="11"/>
        <color indexed="8"/>
        <rFont val="Calibri"/>
        <family val="2"/>
      </rPr>
      <t xml:space="preserve"> =</t>
    </r>
  </si>
  <si>
    <t>Contribución del hormigón</t>
  </si>
  <si>
    <r>
      <t>V</t>
    </r>
    <r>
      <rPr>
        <b/>
        <vertAlign val="subscript"/>
        <sz val="11"/>
        <color indexed="8"/>
        <rFont val="Calibri"/>
        <family val="2"/>
      </rPr>
      <t>cu</t>
    </r>
    <r>
      <rPr>
        <b/>
        <sz val="11"/>
        <color indexed="8"/>
        <rFont val="Calibri"/>
        <family val="2"/>
      </rPr>
      <t xml:space="preserve"> =</t>
    </r>
  </si>
  <si>
    <r>
      <t>Debe ser V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≤ V</t>
    </r>
    <r>
      <rPr>
        <b/>
        <vertAlign val="subscript"/>
        <sz val="11"/>
        <color indexed="8"/>
        <rFont val="Calibri"/>
        <family val="2"/>
      </rPr>
      <t>u2</t>
    </r>
    <r>
      <rPr>
        <b/>
        <sz val="11"/>
        <color indexed="8"/>
        <rFont val="Calibri"/>
        <family val="2"/>
      </rPr>
      <t xml:space="preserve"> (con V</t>
    </r>
    <r>
      <rPr>
        <b/>
        <vertAlign val="subscript"/>
        <sz val="11"/>
        <color indexed="8"/>
        <rFont val="Calibri"/>
        <family val="2"/>
      </rPr>
      <t>u2</t>
    </r>
    <r>
      <rPr>
        <b/>
        <sz val="11"/>
        <color indexed="8"/>
        <rFont val="Calibri"/>
        <family val="2"/>
      </rPr>
      <t xml:space="preserve"> = V</t>
    </r>
    <r>
      <rPr>
        <b/>
        <vertAlign val="subscript"/>
        <sz val="11"/>
        <color indexed="8"/>
        <rFont val="Calibri"/>
        <family val="2"/>
      </rPr>
      <t>cu</t>
    </r>
    <r>
      <rPr>
        <b/>
        <sz val="11"/>
        <color indexed="8"/>
        <rFont val="Calibri"/>
        <family val="2"/>
      </rPr>
      <t xml:space="preserve"> + V</t>
    </r>
    <r>
      <rPr>
        <b/>
        <vertAlign val="subscript"/>
        <sz val="11"/>
        <color indexed="8"/>
        <rFont val="Calibri"/>
        <family val="2"/>
      </rPr>
      <t>su</t>
    </r>
    <r>
      <rPr>
        <b/>
        <sz val="11"/>
        <color indexed="8"/>
        <rFont val="Calibri"/>
        <family val="2"/>
      </rPr>
      <t>)</t>
    </r>
  </si>
  <si>
    <r>
      <t>V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≤ V</t>
    </r>
    <r>
      <rPr>
        <b/>
        <vertAlign val="subscript"/>
        <sz val="11"/>
        <color indexed="8"/>
        <rFont val="Calibri"/>
        <family val="2"/>
      </rPr>
      <t>cu</t>
    </r>
    <r>
      <rPr>
        <b/>
        <sz val="11"/>
        <color indexed="8"/>
        <rFont val="Calibri"/>
        <family val="2"/>
      </rPr>
      <t>?</t>
    </r>
  </si>
  <si>
    <r>
      <t>V</t>
    </r>
    <r>
      <rPr>
        <b/>
        <vertAlign val="subscript"/>
        <sz val="11"/>
        <color indexed="8"/>
        <rFont val="Calibri"/>
        <family val="2"/>
      </rPr>
      <t>su</t>
    </r>
    <r>
      <rPr>
        <b/>
        <sz val="11"/>
        <color indexed="8"/>
        <rFont val="Calibri"/>
        <family val="2"/>
      </rPr>
      <t xml:space="preserve"> a resistir con A</t>
    </r>
    <r>
      <rPr>
        <b/>
        <vertAlign val="subscript"/>
        <sz val="11"/>
        <color indexed="8"/>
        <rFont val="Calibri"/>
        <family val="2"/>
      </rPr>
      <t>α</t>
    </r>
    <r>
      <rPr>
        <b/>
        <sz val="11"/>
        <color indexed="8"/>
        <rFont val="Calibri"/>
        <family val="2"/>
      </rPr>
      <t xml:space="preserve"> (V</t>
    </r>
    <r>
      <rPr>
        <b/>
        <vertAlign val="subscript"/>
        <sz val="11"/>
        <color indexed="8"/>
        <rFont val="Calibri"/>
        <family val="2"/>
      </rPr>
      <t>su</t>
    </r>
    <r>
      <rPr>
        <b/>
        <sz val="11"/>
        <color indexed="8"/>
        <rFont val="Calibri"/>
        <family val="2"/>
      </rPr>
      <t xml:space="preserve"> = V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- V</t>
    </r>
    <r>
      <rPr>
        <b/>
        <vertAlign val="subscript"/>
        <sz val="11"/>
        <color indexed="8"/>
        <rFont val="Calibri"/>
        <family val="2"/>
      </rPr>
      <t>cu</t>
    </r>
    <r>
      <rPr>
        <b/>
        <sz val="11"/>
        <color indexed="8"/>
        <rFont val="Calibri"/>
        <family val="2"/>
      </rPr>
      <t>)</t>
    </r>
  </si>
  <si>
    <r>
      <t>V</t>
    </r>
    <r>
      <rPr>
        <b/>
        <vertAlign val="subscript"/>
        <sz val="11"/>
        <color indexed="8"/>
        <rFont val="Calibri"/>
        <family val="2"/>
      </rPr>
      <t>su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</si>
  <si>
    <r>
      <t>A</t>
    </r>
    <r>
      <rPr>
        <b/>
        <vertAlign val="subscript"/>
        <sz val="11"/>
        <color indexed="8"/>
        <rFont val="Calibri"/>
        <family val="2"/>
      </rPr>
      <t>90</t>
    </r>
    <r>
      <rPr>
        <b/>
        <sz val="11"/>
        <color indexed="8"/>
        <rFont val="Calibri"/>
        <family val="2"/>
      </rPr>
      <t xml:space="preserve"> =</t>
    </r>
  </si>
  <si>
    <r>
      <t>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/m de viga</t>
    </r>
  </si>
  <si>
    <r>
      <t>Separación longitudinal entre armaduras (S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) (art. 44.2.3.4.1 de la EHE-08)</t>
    </r>
  </si>
  <si>
    <r>
      <t xml:space="preserve">    Caso 1. Si   V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≤ V</t>
    </r>
    <r>
      <rPr>
        <b/>
        <vertAlign val="subscript"/>
        <sz val="11"/>
        <color indexed="8"/>
        <rFont val="Calibri"/>
        <family val="2"/>
      </rPr>
      <t>u1</t>
    </r>
    <r>
      <rPr>
        <b/>
        <sz val="11"/>
        <color indexed="8"/>
        <rFont val="Calibri"/>
        <family val="2"/>
      </rPr>
      <t>/5                    →   S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≤ 0,75 · d ≤ 60 cm</t>
    </r>
  </si>
  <si>
    <r>
      <t xml:space="preserve">    Caso 2. Si   V</t>
    </r>
    <r>
      <rPr>
        <b/>
        <vertAlign val="subscript"/>
        <sz val="11"/>
        <color indexed="8"/>
        <rFont val="Calibri"/>
        <family val="2"/>
      </rPr>
      <t>u1</t>
    </r>
    <r>
      <rPr>
        <b/>
        <sz val="11"/>
        <color indexed="8"/>
        <rFont val="Calibri"/>
        <family val="2"/>
      </rPr>
      <t>/5 &lt; V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≤ 2V</t>
    </r>
    <r>
      <rPr>
        <b/>
        <vertAlign val="subscript"/>
        <sz val="11"/>
        <color indexed="8"/>
        <rFont val="Calibri"/>
        <family val="2"/>
      </rPr>
      <t>u1</t>
    </r>
    <r>
      <rPr>
        <b/>
        <sz val="11"/>
        <color indexed="8"/>
        <rFont val="Calibri"/>
        <family val="2"/>
      </rPr>
      <t>/3   →   S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≤ 0,60 · d ≤ 45 cm</t>
    </r>
  </si>
  <si>
    <r>
      <t xml:space="preserve">    Caso 3. Si   V</t>
    </r>
    <r>
      <rPr>
        <b/>
        <vertAlign val="subscript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&gt; 2V</t>
    </r>
    <r>
      <rPr>
        <b/>
        <vertAlign val="subscript"/>
        <sz val="11"/>
        <color indexed="8"/>
        <rFont val="Calibri"/>
        <family val="2"/>
      </rPr>
      <t>u1</t>
    </r>
    <r>
      <rPr>
        <b/>
        <sz val="11"/>
        <color indexed="8"/>
        <rFont val="Calibri"/>
        <family val="2"/>
      </rPr>
      <t>/3                  →   S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≤ 0,30 · d ≤ 30 cm</t>
    </r>
  </si>
  <si>
    <t>Aquí estamos en el caso:</t>
  </si>
  <si>
    <r>
      <t>Por tanto, debe ser:    S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≤</t>
    </r>
  </si>
  <si>
    <t>cm</t>
  </si>
  <si>
    <r>
      <t>Supongamos que es:   S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</t>
    </r>
  </si>
  <si>
    <r>
      <t>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/m   =</t>
    </r>
  </si>
  <si>
    <r>
      <t>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bscript"/>
        <sz val="11"/>
        <color indexed="8"/>
        <rFont val="Calibri"/>
        <family val="2"/>
      </rPr>
      <t>t</t>
    </r>
  </si>
  <si>
    <r>
      <t>Con 1cØ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/S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</t>
    </r>
  </si>
  <si>
    <t>CASO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</si>
  <si>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bscript"/>
        <sz val="11"/>
        <color theme="1"/>
        <rFont val="Calibri"/>
        <family val="2"/>
        <scheme val="minor"/>
      </rPr>
      <t>t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</si>
  <si>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α</t>
    </r>
    <r>
      <rPr>
        <b/>
        <sz val="11"/>
        <color theme="1"/>
        <rFont val="Calibri"/>
        <family val="2"/>
        <scheme val="minor"/>
      </rPr>
      <t>=</t>
    </r>
  </si>
  <si>
    <t>Resultados</t>
  </si>
  <si>
    <t>Diámetro</t>
  </si>
  <si>
    <t>Nº Barras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</si>
  <si>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s2MÍN</t>
    </r>
    <r>
      <rPr>
        <b/>
        <sz val="11"/>
        <color theme="1"/>
        <rFont val="Calibri"/>
        <family val="2"/>
        <scheme val="minor"/>
      </rPr>
      <t>=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</si>
  <si>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</si>
  <si>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</si>
  <si>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2º CASO: Cálculo de A</t>
    </r>
    <r>
      <rPr>
        <b/>
        <vertAlign val="subscript"/>
        <sz val="11"/>
        <color theme="1"/>
        <rFont val="Calibri"/>
        <family val="2"/>
        <scheme val="minor"/>
      </rPr>
      <t>s2</t>
    </r>
  </si>
  <si>
    <r>
      <t>1er CASO: Cuantía mínima de A</t>
    </r>
    <r>
      <rPr>
        <b/>
        <vertAlign val="subscript"/>
        <sz val="11"/>
        <color theme="1"/>
        <rFont val="Calibri"/>
        <family val="2"/>
        <scheme val="minor"/>
      </rPr>
      <t>s2</t>
    </r>
  </si>
  <si>
    <r>
      <t>· A</t>
    </r>
    <r>
      <rPr>
        <b/>
        <u val="doubleAccounting"/>
        <vertAlign val="subscript"/>
        <sz val="11"/>
        <color theme="1"/>
        <rFont val="Calibri"/>
        <family val="2"/>
        <scheme val="minor"/>
      </rPr>
      <t xml:space="preserve">S1    </t>
    </r>
    <r>
      <rPr>
        <b/>
        <u val="doubleAccounting"/>
        <sz val="11"/>
        <color theme="1"/>
        <rFont val="Calibri"/>
        <family val="2"/>
        <scheme val="minor"/>
      </rPr>
      <t>-</t>
    </r>
  </si>
  <si>
    <r>
      <t>· A</t>
    </r>
    <r>
      <rPr>
        <b/>
        <vertAlign val="subscript"/>
        <sz val="11"/>
        <color theme="1"/>
        <rFont val="Calibri"/>
        <family val="2"/>
        <scheme val="minor"/>
      </rPr>
      <t>s2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</si>
  <si>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s2</t>
    </r>
    <r>
      <rPr>
        <b/>
        <sz val="11"/>
        <color theme="1"/>
        <rFont val="Calibri"/>
        <family val="2"/>
        <scheme val="minor"/>
      </rPr>
      <t>=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</si>
  <si>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=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</si>
  <si>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s1</t>
    </r>
    <r>
      <rPr>
        <b/>
        <sz val="11"/>
        <color theme="1"/>
        <rFont val="Calibri"/>
        <family val="2"/>
        <scheme val="minor"/>
      </rPr>
      <t>=</t>
    </r>
  </si>
  <si>
    <r>
      <t>Nº teor barras A</t>
    </r>
    <r>
      <rPr>
        <b/>
        <vertAlign val="subscript"/>
        <sz val="11"/>
        <color theme="1"/>
        <rFont val="Calibri"/>
        <family val="2"/>
        <scheme val="minor"/>
      </rPr>
      <t xml:space="preserve">s1 </t>
    </r>
    <r>
      <rPr>
        <b/>
        <sz val="11"/>
        <color theme="1"/>
        <rFont val="Calibri"/>
        <family val="2"/>
        <scheme val="minor"/>
      </rPr>
      <t>=</t>
    </r>
  </si>
  <si>
    <r>
      <t>Nº teor barras A</t>
    </r>
    <r>
      <rPr>
        <b/>
        <vertAlign val="subscript"/>
        <sz val="11"/>
        <color theme="1"/>
        <rFont val="Calibri"/>
        <family val="2"/>
        <scheme val="minor"/>
      </rPr>
      <t>s2</t>
    </r>
    <r>
      <rPr>
        <b/>
        <sz val="11"/>
        <color theme="1"/>
        <rFont val="Calibri"/>
        <family val="2"/>
        <scheme val="minor"/>
      </rPr>
      <t xml:space="preserve"> =</t>
    </r>
  </si>
  <si>
    <r>
      <t>Nº de barras A</t>
    </r>
    <r>
      <rPr>
        <b/>
        <vertAlign val="subscript"/>
        <sz val="11"/>
        <color theme="1"/>
        <rFont val="Calibri"/>
        <family val="2"/>
        <scheme val="minor"/>
      </rPr>
      <t>s2</t>
    </r>
    <r>
      <rPr>
        <b/>
        <sz val="11"/>
        <color theme="1"/>
        <rFont val="Calibri"/>
        <family val="2"/>
        <scheme val="minor"/>
      </rPr>
      <t>=</t>
    </r>
  </si>
  <si>
    <r>
      <t>Nº de barras A</t>
    </r>
    <r>
      <rPr>
        <b/>
        <vertAlign val="subscript"/>
        <sz val="11"/>
        <color theme="1"/>
        <rFont val="Calibri"/>
        <family val="2"/>
        <scheme val="minor"/>
      </rPr>
      <t>s1</t>
    </r>
    <r>
      <rPr>
        <b/>
        <sz val="11"/>
        <color theme="1"/>
        <rFont val="Calibri"/>
        <family val="2"/>
        <scheme val="minor"/>
      </rPr>
      <t xml:space="preserve"> =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</si>
  <si>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</si>
  <si>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Dens. Acero=</t>
  </si>
  <si>
    <t>kg hormigón</t>
  </si>
  <si>
    <t>kg acero</t>
  </si>
  <si>
    <t>Vol. Centro As1=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</si>
  <si>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</si>
  <si>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kg</t>
  </si>
  <si>
    <t xml:space="preserve"> As1=</t>
  </si>
  <si>
    <t>30% As1=</t>
  </si>
  <si>
    <t>kg As1 centro=</t>
  </si>
  <si>
    <t>Longitud Ganchos=</t>
  </si>
  <si>
    <t>vol. Extremos As1=</t>
  </si>
  <si>
    <t>kg As1 extremos=</t>
  </si>
  <si>
    <t xml:space="preserve"> As2=</t>
  </si>
  <si>
    <t>vol. As2=</t>
  </si>
  <si>
    <t>kg As2=</t>
  </si>
  <si>
    <t>Sep. Armaduras</t>
  </si>
  <si>
    <t>Nº armaduras</t>
  </si>
  <si>
    <t>volumen</t>
  </si>
  <si>
    <t>T. cemento</t>
  </si>
  <si>
    <t>cem II/B-S</t>
  </si>
  <si>
    <t>cem II/B-M</t>
  </si>
  <si>
    <t>cem II/A-LL</t>
  </si>
  <si>
    <t>cem III/A</t>
  </si>
  <si>
    <t>cem I 52,5R</t>
  </si>
  <si>
    <t>cem I 52,5N</t>
  </si>
  <si>
    <t>cem I 42,5R</t>
  </si>
  <si>
    <t>Agregados</t>
  </si>
  <si>
    <t>arena suelo</t>
  </si>
  <si>
    <t>arena molida</t>
  </si>
  <si>
    <t>grava triturada</t>
  </si>
  <si>
    <t>microsílice</t>
  </si>
  <si>
    <t>agua</t>
  </si>
  <si>
    <t>T. Cemento</t>
  </si>
  <si>
    <t>kg Totales</t>
  </si>
  <si>
    <t>Líquido</t>
  </si>
  <si>
    <t>Material reciclable</t>
  </si>
  <si>
    <t>Cons. Mat. Primas (kg)</t>
  </si>
  <si>
    <r>
      <t>Cons. Agua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</si>
  <si>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Cons. Energía prim.  (MJ)</t>
  </si>
  <si>
    <t>Calentamiento global  (kg)</t>
  </si>
  <si>
    <t>Potencial de acidificación  (g)</t>
  </si>
  <si>
    <t>Formación fotoq. Ozono  (g)</t>
  </si>
  <si>
    <t>Datos de impacto del agregado</t>
  </si>
  <si>
    <t>Impactos agregados</t>
  </si>
  <si>
    <t>unit</t>
  </si>
  <si>
    <t>grava/arena</t>
  </si>
  <si>
    <t>por Tn</t>
  </si>
  <si>
    <t>Consumo de materias primas</t>
  </si>
  <si>
    <t>Consumo de agua</t>
  </si>
  <si>
    <t>Consumo energía primaria</t>
  </si>
  <si>
    <t>MJ</t>
  </si>
  <si>
    <t>Potencial de calentamiento global</t>
  </si>
  <si>
    <t>Potencial de acidificación</t>
  </si>
  <si>
    <t>g</t>
  </si>
  <si>
    <t>Formación fotoquímica de ozono</t>
  </si>
  <si>
    <t>Datos de impacto del cemento</t>
  </si>
  <si>
    <t>cem 152,5R</t>
  </si>
  <si>
    <t>cem 152,5N</t>
  </si>
  <si>
    <t>cem 142,5R</t>
  </si>
  <si>
    <t>(Portland)</t>
  </si>
  <si>
    <t>(slag Portland)</t>
  </si>
  <si>
    <t>(blended Port)</t>
  </si>
  <si>
    <t>(line Portland)</t>
  </si>
  <si>
    <t>(blast furnace)</t>
  </si>
  <si>
    <t xml:space="preserve">por Tn </t>
  </si>
  <si>
    <t>NO</t>
  </si>
  <si>
    <t>PARCIAL</t>
  </si>
  <si>
    <t>Fibras de</t>
  </si>
  <si>
    <t>acero</t>
  </si>
  <si>
    <t>SI</t>
  </si>
  <si>
    <t>Producción de hormigón monolítico, encofrado , bombeo de hormigón fresco , producción de elementos prefabricados, grúa móvil</t>
  </si>
  <si>
    <t>Producción de</t>
  </si>
  <si>
    <t>encofrado</t>
  </si>
  <si>
    <t>bombeo de</t>
  </si>
  <si>
    <t>elementos</t>
  </si>
  <si>
    <t>grúa</t>
  </si>
  <si>
    <t>horm. Monol.</t>
  </si>
  <si>
    <t>hormigón</t>
  </si>
  <si>
    <t>prefabricados</t>
  </si>
  <si>
    <t>móvil</t>
  </si>
  <si>
    <t>Transporte</t>
  </si>
  <si>
    <t>Larga distancia</t>
  </si>
  <si>
    <t>Corta distancia</t>
  </si>
  <si>
    <t xml:space="preserve">transporte </t>
  </si>
  <si>
    <t>por tren</t>
  </si>
  <si>
    <r>
      <t>por m</t>
    </r>
    <r>
      <rPr>
        <vertAlign val="superscript"/>
        <sz val="11"/>
        <color theme="1"/>
        <rFont val="Calibri"/>
        <family val="2"/>
        <scheme val="minor"/>
      </rPr>
      <t>2</t>
    </r>
  </si>
  <si>
    <t>Si</t>
  </si>
  <si>
    <t>humo de sílice</t>
  </si>
  <si>
    <t>arena</t>
  </si>
  <si>
    <t>grava machaqueo</t>
  </si>
  <si>
    <t>agregado</t>
  </si>
  <si>
    <t>armaduras</t>
  </si>
  <si>
    <t>pasivas</t>
  </si>
  <si>
    <t>activas</t>
  </si>
  <si>
    <t>unidad</t>
  </si>
  <si>
    <t>catalizador</t>
  </si>
  <si>
    <r>
      <t>por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</si>
  <si>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Prod.Hormigón(m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</si>
  <si>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Encofrado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</si>
  <si>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Bombeo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</si>
  <si>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Prefabricado(m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</si>
  <si>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Grúa (Tn)</t>
  </si>
  <si>
    <t xml:space="preserve">m  </t>
  </si>
  <si>
    <t xml:space="preserve">kg    </t>
  </si>
  <si>
    <t>¿ Distancia fábrica a obra ? (En km)</t>
  </si>
  <si>
    <t>por Tn km</t>
  </si>
  <si>
    <r>
      <t>Composición del tipo de cemento en kg/m</t>
    </r>
    <r>
      <rPr>
        <b/>
        <u/>
        <vertAlign val="superscript"/>
        <sz val="11"/>
        <color theme="1"/>
        <rFont val="Calibri"/>
        <family val="2"/>
        <scheme val="minor"/>
      </rPr>
      <t>3</t>
    </r>
  </si>
  <si>
    <t>vol. Hormigón</t>
  </si>
  <si>
    <r>
      <t>Composición del tipo de agregado en kg/m</t>
    </r>
    <r>
      <rPr>
        <b/>
        <u/>
        <vertAlign val="superscript"/>
        <sz val="11"/>
        <color theme="1"/>
        <rFont val="Calibri"/>
        <family val="2"/>
        <scheme val="minor"/>
      </rPr>
      <t>3</t>
    </r>
  </si>
  <si>
    <r>
      <t>Composición líquido en l/m</t>
    </r>
    <r>
      <rPr>
        <b/>
        <u/>
        <vertAlign val="superscript"/>
        <sz val="11"/>
        <color theme="1"/>
        <rFont val="Calibri"/>
        <family val="2"/>
        <scheme val="minor"/>
      </rPr>
      <t>3</t>
    </r>
  </si>
  <si>
    <t>consumo</t>
  </si>
  <si>
    <t>Armadura Mínima para el Estado Límite de Fisuración</t>
  </si>
  <si>
    <t>El Eurocódigo de hormigón y el Código Modelo MC-90 proponen:</t>
  </si>
  <si>
    <r>
      <t>A</t>
    </r>
    <r>
      <rPr>
        <vertAlign val="subscript"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·f</t>
    </r>
    <r>
      <rPr>
        <vertAlign val="subscript"/>
        <sz val="16"/>
        <color theme="1"/>
        <rFont val="Calibri"/>
        <family val="2"/>
        <scheme val="minor"/>
      </rPr>
      <t>yk</t>
    </r>
    <r>
      <rPr>
        <sz val="16"/>
        <color theme="1"/>
        <rFont val="Calibri"/>
        <family val="2"/>
        <scheme val="minor"/>
      </rPr>
      <t>=k</t>
    </r>
    <r>
      <rPr>
        <vertAlign val="subscript"/>
        <sz val="16"/>
        <color theme="1"/>
        <rFont val="Calibri"/>
        <family val="2"/>
        <scheme val="minor"/>
      </rPr>
      <t>c</t>
    </r>
    <r>
      <rPr>
        <sz val="16"/>
        <color theme="1"/>
        <rFont val="Calibri"/>
        <family val="2"/>
        <scheme val="minor"/>
      </rPr>
      <t>·k·A</t>
    </r>
    <r>
      <rPr>
        <vertAlign val="subscript"/>
        <sz val="16"/>
        <color theme="1"/>
        <rFont val="Calibri"/>
        <family val="2"/>
        <scheme val="minor"/>
      </rPr>
      <t>ct</t>
    </r>
    <r>
      <rPr>
        <sz val="16"/>
        <color theme="1"/>
        <rFont val="Calibri"/>
        <family val="2"/>
        <scheme val="minor"/>
      </rPr>
      <t>·f</t>
    </r>
    <r>
      <rPr>
        <vertAlign val="subscript"/>
        <sz val="16"/>
        <color theme="1"/>
        <rFont val="Calibri"/>
        <family val="2"/>
        <scheme val="minor"/>
      </rPr>
      <t>ct,eff</t>
    </r>
  </si>
  <si>
    <t>(Para flexión)</t>
  </si>
  <si>
    <t>k=</t>
  </si>
  <si>
    <t>0,8 si canto&lt; 30 cm</t>
  </si>
  <si>
    <t>0,5 si canto&gt; 80 cm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</si>
  <si>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yk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</si>
  <si>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c</t>
    </r>
    <r>
      <rPr>
        <b/>
        <sz val="12"/>
        <color theme="1"/>
        <rFont val="Calibri"/>
        <family val="2"/>
        <scheme val="minor"/>
      </rPr>
      <t>=</t>
    </r>
  </si>
  <si>
    <r>
      <t>A</t>
    </r>
    <r>
      <rPr>
        <b/>
        <vertAlign val="subscript"/>
        <sz val="12"/>
        <color theme="1"/>
        <rFont val="Calibri"/>
        <family val="2"/>
        <scheme val="minor"/>
      </rPr>
      <t>ct</t>
    </r>
    <r>
      <rPr>
        <b/>
        <sz val="12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</si>
  <si>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ct,eff</t>
    </r>
    <r>
      <rPr>
        <b/>
        <sz val="12"/>
        <color theme="1"/>
        <rFont val="Calibri"/>
        <family val="2"/>
        <scheme val="minor"/>
      </rPr>
      <t>=</t>
    </r>
  </si>
  <si>
    <r>
      <t>(=0,3·(f</t>
    </r>
    <r>
      <rPr>
        <vertAlign val="subscript"/>
        <sz val="12"/>
        <color theme="1"/>
        <rFont val="Calibri"/>
        <family val="2"/>
        <scheme val="minor"/>
      </rPr>
      <t>ck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2/3</t>
    </r>
    <r>
      <rPr>
        <sz val="12"/>
        <color theme="1"/>
        <rFont val="Calibri"/>
        <family val="2"/>
        <scheme val="minor"/>
      </rPr>
      <t>)</t>
    </r>
  </si>
  <si>
    <t>As,min=</t>
  </si>
  <si>
    <r>
      <t>A</t>
    </r>
    <r>
      <rPr>
        <vertAlign val="subscript"/>
        <sz val="14"/>
        <color theme="1"/>
        <rFont val="Calibri"/>
        <family val="2"/>
        <scheme val="minor"/>
      </rPr>
      <t>s1, Real</t>
    </r>
    <r>
      <rPr>
        <sz val="14"/>
        <color theme="1"/>
        <rFont val="Calibri"/>
        <family val="2"/>
        <scheme val="minor"/>
      </rPr>
      <t>=</t>
    </r>
  </si>
  <si>
    <r>
      <t>¿A</t>
    </r>
    <r>
      <rPr>
        <vertAlign val="subscript"/>
        <sz val="16"/>
        <color theme="1"/>
        <rFont val="Calibri"/>
        <family val="2"/>
        <scheme val="minor"/>
      </rPr>
      <t>s,min</t>
    </r>
    <r>
      <rPr>
        <sz val="16"/>
        <color theme="1"/>
        <rFont val="Calibri"/>
        <family val="2"/>
        <scheme val="minor"/>
      </rPr>
      <t xml:space="preserve"> &lt; A</t>
    </r>
    <r>
      <rPr>
        <vertAlign val="subscript"/>
        <sz val="16"/>
        <color theme="1"/>
        <rFont val="Calibri"/>
        <family val="2"/>
        <scheme val="minor"/>
      </rPr>
      <t xml:space="preserve">s1,Real </t>
    </r>
    <r>
      <rPr>
        <sz val="16"/>
        <color theme="1"/>
        <rFont val="Calibri"/>
        <family val="2"/>
        <scheme val="minor"/>
      </rPr>
      <t>?</t>
    </r>
  </si>
  <si>
    <r>
      <t>w</t>
    </r>
    <r>
      <rPr>
        <vertAlign val="subscript"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=s</t>
    </r>
    <r>
      <rPr>
        <vertAlign val="subscript"/>
        <sz val="14"/>
        <color theme="1"/>
        <rFont val="Calibri"/>
        <family val="2"/>
        <scheme val="minor"/>
      </rPr>
      <t>r,máx</t>
    </r>
    <r>
      <rPr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</rPr>
      <t>Ԑ</t>
    </r>
    <r>
      <rPr>
        <vertAlign val="subscript"/>
        <sz val="14"/>
        <color theme="1"/>
        <rFont val="Calibri"/>
        <family val="2"/>
      </rPr>
      <t>sm</t>
    </r>
    <r>
      <rPr>
        <sz val="14"/>
        <color theme="1"/>
        <rFont val="Calibri"/>
        <family val="2"/>
      </rPr>
      <t>-Ԑ</t>
    </r>
    <r>
      <rPr>
        <vertAlign val="subscript"/>
        <sz val="14"/>
        <color theme="1"/>
        <rFont val="Calibri"/>
        <family val="2"/>
      </rPr>
      <t>cm</t>
    </r>
    <r>
      <rPr>
        <sz val="14"/>
        <color theme="1"/>
        <rFont val="Calibri"/>
        <family val="2"/>
      </rPr>
      <t>)  se tiene que cumplir:  w</t>
    </r>
    <r>
      <rPr>
        <vertAlign val="subscript"/>
        <sz val="14"/>
        <color theme="1"/>
        <rFont val="Calibri"/>
        <family val="2"/>
      </rPr>
      <t>k</t>
    </r>
    <r>
      <rPr>
        <sz val="14"/>
        <color theme="1"/>
        <rFont val="Calibri"/>
        <family val="2"/>
      </rPr>
      <t>&lt;= w</t>
    </r>
    <r>
      <rPr>
        <vertAlign val="subscript"/>
        <sz val="14"/>
        <color theme="1"/>
        <rFont val="Calibri"/>
        <family val="2"/>
      </rPr>
      <t xml:space="preserve">máx </t>
    </r>
    <r>
      <rPr>
        <sz val="14"/>
        <color theme="1"/>
        <rFont val="Calibri"/>
        <family val="2"/>
      </rPr>
      <t xml:space="preserve">    </t>
    </r>
  </si>
  <si>
    <r>
      <rPr>
        <b/>
        <sz val="14"/>
        <color rgb="FFFF0000"/>
        <rFont val="Calibri"/>
        <family val="2"/>
        <scheme val="minor"/>
      </rPr>
      <t xml:space="preserve">Anchura de fisura: </t>
    </r>
    <r>
      <rPr>
        <b/>
        <sz val="14"/>
        <color theme="4" tint="-0.249977111117893"/>
        <rFont val="Calibri"/>
        <family val="2"/>
        <scheme val="minor"/>
      </rPr>
      <t>según el Eurocódigo</t>
    </r>
  </si>
  <si>
    <r>
      <t>A</t>
    </r>
    <r>
      <rPr>
        <b/>
        <vertAlign val="subscript"/>
        <sz val="12"/>
        <color theme="1"/>
        <rFont val="Calibri"/>
        <family val="2"/>
        <scheme val="minor"/>
      </rPr>
      <t>c,eficaz</t>
    </r>
    <r>
      <rPr>
        <b/>
        <sz val="12"/>
        <color theme="1"/>
        <rFont val="Calibri"/>
        <family val="2"/>
        <scheme val="minor"/>
      </rPr>
      <t>=</t>
    </r>
  </si>
  <si>
    <r>
      <t>A</t>
    </r>
    <r>
      <rPr>
        <b/>
        <vertAlign val="subscript"/>
        <sz val="12"/>
        <color theme="1"/>
        <rFont val="Calibri"/>
        <family val="2"/>
        <scheme val="minor"/>
      </rPr>
      <t>s</t>
    </r>
    <r>
      <rPr>
        <b/>
        <sz val="12"/>
        <color theme="1"/>
        <rFont val="Calibri"/>
        <family val="2"/>
        <scheme val="minor"/>
      </rPr>
      <t>=</t>
    </r>
  </si>
  <si>
    <t>ρ=</t>
  </si>
  <si>
    <r>
      <t>σ</t>
    </r>
    <r>
      <rPr>
        <b/>
        <vertAlign val="subscript"/>
        <sz val="12"/>
        <color theme="1"/>
        <rFont val="Calibri"/>
        <family val="2"/>
      </rPr>
      <t>s</t>
    </r>
    <r>
      <rPr>
        <b/>
        <sz val="12"/>
        <color theme="1"/>
        <rFont val="Calibri"/>
        <family val="2"/>
      </rPr>
      <t>=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</si>
  <si>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ct,m</t>
    </r>
    <r>
      <rPr>
        <b/>
        <sz val="11"/>
        <color theme="1"/>
        <rFont val="Calibri"/>
        <family val="2"/>
        <scheme val="minor"/>
      </rPr>
      <t>=</t>
    </r>
  </si>
  <si>
    <t>Ԑsm-Ԑcm=</t>
  </si>
  <si>
    <r>
      <t>N·mm</t>
    </r>
    <r>
      <rPr>
        <vertAlign val="superscript"/>
        <sz val="11"/>
        <color theme="1"/>
        <rFont val="Calibri"/>
        <family val="2"/>
        <scheme val="minor"/>
      </rPr>
      <t>2</t>
    </r>
  </si>
  <si>
    <t>Wmáx=</t>
  </si>
  <si>
    <r>
      <t>W</t>
    </r>
    <r>
      <rPr>
        <b/>
        <u/>
        <vertAlign val="subscript"/>
        <sz val="14"/>
        <color theme="4" tint="-0.249977111117893"/>
        <rFont val="Calibri"/>
        <family val="2"/>
        <scheme val="minor"/>
      </rPr>
      <t>k</t>
    </r>
    <r>
      <rPr>
        <b/>
        <u/>
        <sz val="14"/>
        <color theme="4" tint="-0.249977111117893"/>
        <rFont val="Calibri"/>
        <family val="2"/>
        <scheme val="minor"/>
      </rPr>
      <t>=</t>
    </r>
  </si>
  <si>
    <r>
      <t>mm</t>
    </r>
    <r>
      <rPr>
        <u/>
        <vertAlign val="superscript"/>
        <sz val="16"/>
        <color theme="4" tint="-0.249977111117893"/>
        <rFont val="Calibri"/>
        <family val="2"/>
        <scheme val="minor"/>
      </rPr>
      <t>2</t>
    </r>
  </si>
  <si>
    <t>f&lt;=</t>
  </si>
  <si>
    <t>E</t>
  </si>
  <si>
    <t>precio/kg</t>
  </si>
  <si>
    <t>densidad arena</t>
  </si>
  <si>
    <t>densidad grava</t>
  </si>
  <si>
    <t>kg/m3</t>
  </si>
  <si>
    <t>precio</t>
  </si>
  <si>
    <t>densidad sílice</t>
  </si>
  <si>
    <t>precio/litro</t>
  </si>
  <si>
    <t>litros</t>
  </si>
  <si>
    <t>cons. Agua</t>
  </si>
  <si>
    <t>B400</t>
  </si>
  <si>
    <t>Tipo</t>
  </si>
  <si>
    <t>Precio/kg</t>
  </si>
  <si>
    <t>Precio</t>
  </si>
  <si>
    <t>B500</t>
  </si>
  <si>
    <t>Euros</t>
  </si>
  <si>
    <t>(nunca mayor de l/500 + 1cm)</t>
  </si>
  <si>
    <t>Flecha instantánea</t>
  </si>
  <si>
    <t>n=</t>
  </si>
  <si>
    <t>mm2</t>
  </si>
  <si>
    <t>Flecha diferida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</si>
  <si>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ck</t>
    </r>
    <r>
      <rPr>
        <b/>
        <sz val="11"/>
        <color theme="1"/>
        <rFont val="Calibri"/>
        <family val="2"/>
        <scheme val="minor"/>
      </rPr>
      <t>=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</si>
  <si>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=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</si>
  <si>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</si>
  <si>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cm</t>
    </r>
    <r>
      <rPr>
        <b/>
        <sz val="11"/>
        <color theme="1"/>
        <rFont val="Calibri"/>
        <family val="2"/>
        <scheme val="minor"/>
      </rPr>
      <t>=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</si>
  <si>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=</t>
    </r>
  </si>
  <si>
    <t>Flecha total=</t>
  </si>
  <si>
    <t xml:space="preserve">  fi+ fd=</t>
  </si>
  <si>
    <t>As1=</t>
  </si>
  <si>
    <r>
      <t>A</t>
    </r>
    <r>
      <rPr>
        <b/>
        <vertAlign val="subscript"/>
        <sz val="11"/>
        <color indexed="8"/>
        <rFont val="Calibri"/>
        <family val="2"/>
      </rPr>
      <t>s2</t>
    </r>
    <r>
      <rPr>
        <b/>
        <sz val="11"/>
        <color indexed="8"/>
        <rFont val="Calibri"/>
        <family val="2"/>
      </rPr>
      <t xml:space="preserve"> (real) =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</si>
  <si>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s1</t>
    </r>
    <r>
      <rPr>
        <b/>
        <sz val="11"/>
        <color theme="1"/>
        <rFont val="Calibri"/>
        <family val="2"/>
        <scheme val="minor"/>
      </rPr>
      <t>(real)=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</si>
  <si>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s2</t>
    </r>
    <r>
      <rPr>
        <b/>
        <sz val="11"/>
        <color theme="1"/>
        <rFont val="Calibri"/>
        <family val="2"/>
        <scheme val="minor"/>
      </rPr>
      <t>(real)=</t>
    </r>
  </si>
  <si>
    <t>x=</t>
  </si>
  <si>
    <r>
      <t>cm</t>
    </r>
    <r>
      <rPr>
        <vertAlign val="superscript"/>
        <sz val="11"/>
        <color theme="1"/>
        <rFont val="Calibri"/>
        <family val="2"/>
        <scheme val="minor"/>
      </rPr>
      <t>4</t>
    </r>
  </si>
  <si>
    <r>
      <t>ρ</t>
    </r>
    <r>
      <rPr>
        <vertAlign val="subscript"/>
        <sz val="11"/>
        <color theme="1"/>
        <rFont val="Calibri"/>
        <family val="2"/>
      </rPr>
      <t xml:space="preserve">acero </t>
    </r>
    <r>
      <rPr>
        <sz val="11"/>
        <color theme="1"/>
        <rFont val="Calibri"/>
        <family val="2"/>
      </rPr>
      <t>=</t>
    </r>
  </si>
  <si>
    <t>Barras en el centro (80% de la luz)</t>
  </si>
  <si>
    <t>Barras en extremos (&gt; 30% As1)</t>
  </si>
  <si>
    <t>Long. Ganchos =</t>
  </si>
  <si>
    <t>Longitud de los ganchos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</si>
  <si>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</t>
    </r>
  </si>
  <si>
    <t>armadura mínima=</t>
  </si>
  <si>
    <t>sep.Armaduras=</t>
  </si>
  <si>
    <t>Nº armaduras=</t>
  </si>
  <si>
    <t>Volumen=</t>
  </si>
  <si>
    <t>kg=</t>
  </si>
  <si>
    <t>Anclaje de cercos</t>
  </si>
  <si>
    <t>armadura máxima=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</si>
  <si>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tmáx</t>
    </r>
    <r>
      <rPr>
        <b/>
        <sz val="11"/>
        <color theme="1"/>
        <rFont val="Calibri"/>
        <family val="2"/>
        <scheme val="minor"/>
      </rPr>
      <t>=</t>
    </r>
  </si>
  <si>
    <t>Barras a tracción (As1)</t>
  </si>
  <si>
    <t>Barras a compresión (As2)</t>
  </si>
  <si>
    <t>Dens. horm.aprox=</t>
  </si>
  <si>
    <t>Dosif. 11</t>
  </si>
  <si>
    <t>Dosif. 12</t>
  </si>
  <si>
    <t>Dosif. 15</t>
  </si>
  <si>
    <t>Dosif. 25</t>
  </si>
  <si>
    <t>Dosif. 26</t>
  </si>
  <si>
    <t>Dosif. 28</t>
  </si>
  <si>
    <t>Dosif. 31</t>
  </si>
  <si>
    <t>Dosif. 41</t>
  </si>
  <si>
    <t>Dosif. 43</t>
  </si>
  <si>
    <t>Dosif. 44</t>
  </si>
  <si>
    <t>Dosif. 45</t>
  </si>
  <si>
    <t>Cantidades</t>
  </si>
  <si>
    <t>Cemento (Kg)</t>
  </si>
  <si>
    <t>Áridos (Kg)</t>
  </si>
  <si>
    <t>Agua total (l)</t>
  </si>
  <si>
    <t>Plastificante (l)</t>
  </si>
  <si>
    <t>Peso total</t>
  </si>
  <si>
    <t>Aditivo plastificante</t>
  </si>
  <si>
    <t>Glenium AC-32</t>
  </si>
  <si>
    <t>Rheobuild 2500</t>
  </si>
  <si>
    <r>
      <t>Volumen aproximado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</si>
  <si>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Ratios</t>
  </si>
  <si>
    <t>Relación agua / cemento (a/c)</t>
  </si>
  <si>
    <t>Relación áridos / peso total</t>
  </si>
  <si>
    <t>Relación arena / áridos</t>
  </si>
  <si>
    <t>Relación grava fina / gruesa</t>
  </si>
  <si>
    <t>Relación grava fina / áridos</t>
  </si>
  <si>
    <t>Relación humo sílice / cemento</t>
  </si>
  <si>
    <r>
      <t>Dosif. cemento (kg por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 horm.)</t>
    </r>
  </si>
  <si>
    <t>Tiempo de amasado (segundos)</t>
  </si>
  <si>
    <t>Resistencia a compresión (órden MPa)</t>
  </si>
  <si>
    <t>35 a 55</t>
  </si>
  <si>
    <t>45 a 60</t>
  </si>
  <si>
    <t>40 a 55</t>
  </si>
  <si>
    <t>25 a 40</t>
  </si>
  <si>
    <t>30 a 45</t>
  </si>
  <si>
    <t>30 a 40</t>
  </si>
  <si>
    <t>35 a 45</t>
  </si>
  <si>
    <t xml:space="preserve">  Grava </t>
  </si>
  <si>
    <t xml:space="preserve">  Arena </t>
  </si>
  <si>
    <t>Poner 1 en la dosificación elegida</t>
  </si>
  <si>
    <t>Cemento (kg)</t>
  </si>
  <si>
    <t>Grava (kg)</t>
  </si>
  <si>
    <t>Arena (kg)</t>
  </si>
  <si>
    <t>Agua (l)</t>
  </si>
  <si>
    <t>Humo de sílide (kg)</t>
  </si>
  <si>
    <t>Peso total (kg)</t>
  </si>
  <si>
    <t>Dosificación Elegida</t>
  </si>
  <si>
    <t>Poner 1 en el cemento utilizado</t>
  </si>
  <si>
    <t>Dosif. 3</t>
  </si>
  <si>
    <t>70 a 80 MPa</t>
  </si>
  <si>
    <t>Dosif. 4</t>
  </si>
  <si>
    <t>Rheobuild 2501</t>
  </si>
  <si>
    <t>71 a 80 MPa</t>
  </si>
  <si>
    <r>
      <t>Prod.Hormigón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</si>
  <si>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Prefabricado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</si>
  <si>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Precio/Unidad</t>
  </si>
  <si>
    <t>Intervalos viga</t>
  </si>
  <si>
    <t>Mín</t>
  </si>
  <si>
    <t>Máx</t>
  </si>
  <si>
    <t>L (m)</t>
  </si>
  <si>
    <t>b (mm)</t>
  </si>
  <si>
    <t>h (mm)</t>
  </si>
  <si>
    <t>Mínimos</t>
  </si>
  <si>
    <t>Calentamiento global</t>
  </si>
  <si>
    <t>Cons.Mat.Primas</t>
  </si>
  <si>
    <t>Dosif.3 - Cem I</t>
  </si>
  <si>
    <t>Cons. Agua</t>
  </si>
  <si>
    <t xml:space="preserve">Dosif.4 - </t>
  </si>
  <si>
    <t>Cons. Energ. Prim</t>
  </si>
  <si>
    <t>Calent. Global</t>
  </si>
  <si>
    <t>Dosif.3 - Cem I 52,5R</t>
  </si>
  <si>
    <t>Pot. Acidificación</t>
  </si>
  <si>
    <t>Form. Fotoq. Ozono</t>
  </si>
  <si>
    <t>Máximos</t>
  </si>
  <si>
    <t>Dosif.31 - Cem III/A</t>
  </si>
  <si>
    <t xml:space="preserve">Dosif.31 - </t>
  </si>
  <si>
    <t>Mín. aprox.</t>
  </si>
  <si>
    <t>Máx. aprox.</t>
  </si>
  <si>
    <r>
      <t>V(m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</si>
  <si>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Creacción de empleo</t>
  </si>
  <si>
    <t>Empresas locales</t>
  </si>
  <si>
    <t>Mayor dimensión de la viga mayor cantidad de trabajo creado.</t>
  </si>
  <si>
    <t>La utilización de materiales prefabricados proporciona una mayor calidad en la construcción.</t>
  </si>
  <si>
    <t>En construcciones con hormigón se necesita el suministro de empresas regionales, puede ser diferente si se utilizan vigas prefabricadas, pero por lo regular empresas de la región.</t>
  </si>
  <si>
    <t>Valor</t>
  </si>
  <si>
    <t>¿Prefabricado?</t>
  </si>
  <si>
    <t>¿Corta distancia)</t>
  </si>
  <si>
    <t>ISG=</t>
  </si>
  <si>
    <t>Peso requerimiento</t>
  </si>
  <si>
    <t>Peso criterio</t>
  </si>
  <si>
    <t>V criterio</t>
  </si>
  <si>
    <t>Peso indicador</t>
  </si>
  <si>
    <t>V indicador</t>
  </si>
  <si>
    <t>X</t>
  </si>
  <si>
    <t>Xmin</t>
  </si>
  <si>
    <t>Xmax</t>
  </si>
  <si>
    <t>P</t>
  </si>
  <si>
    <t>K</t>
  </si>
  <si>
    <t>C</t>
  </si>
  <si>
    <t>Tipo de valor (Fv)</t>
  </si>
  <si>
    <t>Datos de las funciones Fv de cada indicador</t>
  </si>
  <si>
    <t>Económico</t>
  </si>
  <si>
    <t>Lineal</t>
  </si>
  <si>
    <t>Decreciente</t>
  </si>
  <si>
    <t>Coste de construcción</t>
  </si>
  <si>
    <t>Medioambiental</t>
  </si>
  <si>
    <t>Energía prim.</t>
  </si>
  <si>
    <t>Agua</t>
  </si>
  <si>
    <t>Mat. Primas</t>
  </si>
  <si>
    <t>Impactos</t>
  </si>
  <si>
    <t>Destr. Ozono</t>
  </si>
  <si>
    <t>Social</t>
  </si>
  <si>
    <t>vol. Total</t>
  </si>
  <si>
    <t>Cóncava</t>
  </si>
  <si>
    <t xml:space="preserve">Cóncava </t>
  </si>
  <si>
    <t>Destrucción capa ozono</t>
  </si>
  <si>
    <t>Creciente</t>
  </si>
  <si>
    <t>A</t>
  </si>
  <si>
    <t>B</t>
  </si>
  <si>
    <t xml:space="preserve">Escalón </t>
  </si>
  <si>
    <t>Escalón</t>
  </si>
  <si>
    <t>Vrequerimiento</t>
  </si>
  <si>
    <t>Tipo de cemento</t>
  </si>
  <si>
    <t>Proceso de construcción</t>
  </si>
  <si>
    <t>Líquidos</t>
  </si>
  <si>
    <t>Precio construcción</t>
  </si>
  <si>
    <t>Precio mantenimiento</t>
  </si>
  <si>
    <t>Mantenimiento decenal</t>
  </si>
  <si>
    <t>Precio In situ</t>
  </si>
  <si>
    <t>Precio prefabricado</t>
  </si>
  <si>
    <t>Coste construcción</t>
  </si>
  <si>
    <t>Coste mantenimiento</t>
  </si>
  <si>
    <t>Coste mantenimiento decenal</t>
  </si>
  <si>
    <t>C.var. (SU)=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</si>
  <si>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(ELU)</t>
    </r>
    <r>
      <rPr>
        <b/>
        <sz val="11"/>
        <color theme="1"/>
        <rFont val="Calibri"/>
        <family val="2"/>
        <scheme val="minor"/>
      </rPr>
      <t>=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</si>
  <si>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(ELS)</t>
    </r>
    <r>
      <rPr>
        <b/>
        <sz val="11"/>
        <color theme="1"/>
        <rFont val="Calibri"/>
        <family val="2"/>
        <scheme val="minor"/>
      </rPr>
      <t>=</t>
    </r>
  </si>
  <si>
    <r>
      <rPr>
        <b/>
        <sz val="11"/>
        <color theme="1"/>
        <rFont val="Calibri"/>
        <family val="2"/>
      </rPr>
      <t>γ</t>
    </r>
    <r>
      <rPr>
        <b/>
        <vertAlign val="subscript"/>
        <sz val="11"/>
        <color theme="1"/>
        <rFont val="Calibri"/>
        <family val="2"/>
      </rPr>
      <t>Q</t>
    </r>
    <r>
      <rPr>
        <b/>
        <sz val="11"/>
        <color theme="1"/>
        <rFont val="Calibri"/>
        <family val="2"/>
      </rPr>
      <t xml:space="preserve"> =</t>
    </r>
  </si>
  <si>
    <r>
      <t>γ</t>
    </r>
    <r>
      <rPr>
        <b/>
        <vertAlign val="subscript"/>
        <sz val="11"/>
        <color theme="1"/>
        <rFont val="Calibri"/>
        <family val="2"/>
      </rPr>
      <t>G</t>
    </r>
    <r>
      <rPr>
        <b/>
        <sz val="11"/>
        <color theme="1"/>
        <rFont val="Calibri"/>
        <family val="2"/>
      </rPr>
      <t xml:space="preserve"> =</t>
    </r>
  </si>
  <si>
    <t>ELS</t>
  </si>
  <si>
    <t>Temporalidad</t>
  </si>
  <si>
    <t>Estética de la viga</t>
  </si>
  <si>
    <t>Seguridad y salud</t>
  </si>
  <si>
    <t>La utilización de materiales prefabricados implica un menor riesgo de accidentes laborales.</t>
  </si>
  <si>
    <t>Cuando son empresas que realizan materiales prefabricados suelen tener contratos más estables y de mayor duración que aquellas en las que se ejecuta in situ.</t>
  </si>
  <si>
    <t>Medidas adicionales de SyS</t>
  </si>
  <si>
    <t>Elab. de una pág. Web</t>
  </si>
  <si>
    <t>Evalúa si se utilizan medidas adicionales de seguridad y salud a las obligatorias</t>
  </si>
  <si>
    <t>Evalúa si el proyecto posee una página web de información sobre el mismo.</t>
  </si>
  <si>
    <t>Página Web</t>
  </si>
  <si>
    <t>¿Existe?</t>
  </si>
  <si>
    <t>Información</t>
  </si>
  <si>
    <t>C.directo</t>
  </si>
  <si>
    <t>Empleo de áridos reciclados</t>
  </si>
  <si>
    <t>Medidas de aprovechamiento del agua</t>
  </si>
  <si>
    <t>Gestión de residuos</t>
  </si>
  <si>
    <t>Dispositivos para minimizar impactos en el entorno</t>
  </si>
  <si>
    <t>1 SI, 2 NO</t>
  </si>
  <si>
    <r>
      <t>Cons. Agua (m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)</t>
    </r>
  </si>
  <si>
    <t>Min. Impactos entorno</t>
  </si>
  <si>
    <t>Med. Minim. Imp. Entorno</t>
  </si>
  <si>
    <t>Emp.Áridos Recicl.</t>
  </si>
  <si>
    <t>Empleo áridos reciclables</t>
  </si>
  <si>
    <t>Acidificación (SO2)</t>
  </si>
  <si>
    <t>Cal. Global (CO2)</t>
  </si>
  <si>
    <t>Aprovechamiento agua</t>
  </si>
  <si>
    <t>Med. Correctoras</t>
  </si>
  <si>
    <t>Med. Aprovechamiento del agua</t>
  </si>
  <si>
    <t>Seguridad y Salud en el trabajo</t>
  </si>
  <si>
    <t>suma áridos</t>
  </si>
  <si>
    <t>Convexa</t>
  </si>
  <si>
    <t>Datos a introducir</t>
  </si>
  <si>
    <t>Grúa (h)</t>
  </si>
  <si>
    <t>C.Perm=</t>
  </si>
  <si>
    <t>C.Var=</t>
  </si>
  <si>
    <t>Armaduras</t>
  </si>
  <si>
    <t>Flexión</t>
  </si>
  <si>
    <t>Cortante</t>
  </si>
  <si>
    <r>
      <t xml:space="preserve">St,máx </t>
    </r>
    <r>
      <rPr>
        <sz val="11"/>
        <color theme="1"/>
        <rFont val="Calibri"/>
        <family val="2"/>
      </rPr>
      <t>≤</t>
    </r>
  </si>
  <si>
    <t>St=</t>
  </si>
  <si>
    <t>Fisuración</t>
  </si>
  <si>
    <t>¿Armadura mínima para el estado límite de fisuración?</t>
  </si>
  <si>
    <t>¿Anchura de fisura?</t>
  </si>
  <si>
    <t>flecha ≤</t>
  </si>
  <si>
    <r>
      <t>f</t>
    </r>
    <r>
      <rPr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=</t>
    </r>
  </si>
  <si>
    <t>Flecha (m)</t>
  </si>
  <si>
    <t>¿Armaduras entran en la viga?</t>
  </si>
  <si>
    <t>=</t>
  </si>
  <si>
    <t>¿Es prefabricado?</t>
  </si>
  <si>
    <t>¿Requiere bombeo?</t>
  </si>
  <si>
    <t>¿Se utiliza grúa?</t>
  </si>
  <si>
    <t>¿Existe una página web del proyecto?</t>
  </si>
  <si>
    <t>Armadura separación mínima</t>
  </si>
  <si>
    <t>Armadura separación máxima</t>
  </si>
  <si>
    <t>Porcentaje de áridos reciclados (En %)</t>
  </si>
  <si>
    <t>Gestión de residuos (medidas más allá de la legislación vigente)</t>
  </si>
  <si>
    <t>¿Se utilizan encofrados especiales?</t>
  </si>
  <si>
    <t>Km</t>
  </si>
  <si>
    <t>%</t>
  </si>
  <si>
    <t>¿Dispositivos para minimizar olores?</t>
  </si>
  <si>
    <t>¿Medidas para minimizar el ruido?</t>
  </si>
  <si>
    <t>¿Aspersores?</t>
  </si>
  <si>
    <t>¿Papeleras?</t>
  </si>
  <si>
    <t>¿Hormigón autocompactante?</t>
  </si>
  <si>
    <t>¿Tratamientos superficiales(berenjenos, relieves,etc)?</t>
  </si>
  <si>
    <t>¿Encofrados?</t>
  </si>
  <si>
    <t>¿Prefabricado o in situ?</t>
  </si>
  <si>
    <t>¿Hormigón?</t>
  </si>
  <si>
    <t>¿Tratamientos superficiales?</t>
  </si>
  <si>
    <t>¿Distancia en km?</t>
  </si>
  <si>
    <t>Concumo local</t>
  </si>
  <si>
    <t>Medidas</t>
  </si>
  <si>
    <t>Transporte(m3)</t>
  </si>
  <si>
    <t>A partir de 15 km</t>
  </si>
  <si>
    <t>Supl. transporte(km)</t>
  </si>
  <si>
    <t>PUNTOS</t>
  </si>
  <si>
    <t>Acero reciclado</t>
  </si>
  <si>
    <t>en barras por Tn</t>
  </si>
  <si>
    <t xml:space="preserve">Acero  reciclado </t>
  </si>
  <si>
    <t>¿Medidas aprovechamiento del agua?</t>
  </si>
  <si>
    <t>¿Dispositivos para minimizar impactos en el entorno?</t>
  </si>
  <si>
    <t>S=</t>
  </si>
  <si>
    <t>¿Separación mínima entre armaduras inferiores?</t>
  </si>
  <si>
    <r>
      <t xml:space="preserve">S </t>
    </r>
    <r>
      <rPr>
        <sz val="11"/>
        <color theme="1"/>
        <rFont val="Calibri"/>
        <family val="2"/>
      </rPr>
      <t>≥</t>
    </r>
  </si>
  <si>
    <t>Cuant.g. Mín As1=</t>
  </si>
  <si>
    <t>Nºteór.barras=</t>
  </si>
  <si>
    <t>Nº  de barras=</t>
  </si>
  <si>
    <t>(Teórico)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</si>
  <si>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s1,mín,geom</t>
    </r>
    <r>
      <rPr>
        <b/>
        <sz val="11"/>
        <color theme="1"/>
        <rFont val="Calibri"/>
        <family val="2"/>
        <scheme val="minor"/>
      </rPr>
      <t>(real)=</t>
    </r>
  </si>
  <si>
    <t>Cuantía mecánica mínima para As1</t>
  </si>
  <si>
    <t>Cuant. m. mín. As1 =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</si>
  <si>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s1,mín,mec</t>
    </r>
    <r>
      <rPr>
        <b/>
        <sz val="11"/>
        <color theme="1"/>
        <rFont val="Calibri"/>
        <family val="2"/>
        <scheme val="minor"/>
      </rPr>
      <t>(real)=</t>
    </r>
  </si>
  <si>
    <t>Cuantía geométrica mínima para As1</t>
  </si>
  <si>
    <t>Dominio de deformación</t>
  </si>
  <si>
    <t>Comienzo d2:  x=</t>
  </si>
  <si>
    <t>x(d2/d3)=0,259·d=</t>
  </si>
  <si>
    <r>
      <t>Fin d3: x=x</t>
    </r>
    <r>
      <rPr>
        <vertAlign val="subscript"/>
        <sz val="11"/>
        <color theme="1"/>
        <rFont val="Calibri"/>
        <family val="2"/>
        <scheme val="minor"/>
      </rPr>
      <t>lim</t>
    </r>
    <r>
      <rPr>
        <sz val="11"/>
        <color theme="1"/>
        <rFont val="Calibri"/>
        <family val="2"/>
        <scheme val="minor"/>
      </rPr>
      <t xml:space="preserve"> =</t>
    </r>
  </si>
  <si>
    <t>Dominio:</t>
  </si>
  <si>
    <t>l=</t>
  </si>
  <si>
    <t>Barras extremos(teóricas)=</t>
  </si>
  <si>
    <t>Barras extremos(reales)=</t>
  </si>
  <si>
    <t>barras As2(teóricas)=</t>
  </si>
  <si>
    <t>barras As2(reales)=</t>
  </si>
  <si>
    <t>Dosif. Propia</t>
  </si>
  <si>
    <t>Humo de sílice(kg)</t>
  </si>
  <si>
    <t>Suma Acero</t>
  </si>
  <si>
    <r>
      <t>V</t>
    </r>
    <r>
      <rPr>
        <vertAlign val="subscript"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</rPr>
      <t xml:space="preserve"> ≤ V</t>
    </r>
    <r>
      <rPr>
        <vertAlign val="subscript"/>
        <sz val="11"/>
        <color indexed="8"/>
        <rFont val="Calibri"/>
        <family val="2"/>
      </rPr>
      <t>cu</t>
    </r>
    <r>
      <rPr>
        <sz val="11"/>
        <color indexed="8"/>
        <rFont val="Calibri"/>
        <family val="2"/>
      </rPr>
      <t>?</t>
    </r>
  </si>
  <si>
    <r>
      <t xml:space="preserve">Separación entre barras inferiores </t>
    </r>
    <r>
      <rPr>
        <sz val="11"/>
        <color theme="1"/>
        <rFont val="Calibri"/>
        <family val="2"/>
      </rPr>
      <t>≥</t>
    </r>
  </si>
  <si>
    <t>C.perm. (PP)=</t>
  </si>
  <si>
    <t>Disposición armaduras flexión de la viga (caso general)</t>
  </si>
  <si>
    <t>Costes de Construcción</t>
  </si>
  <si>
    <t>Cons. Mat. Primas (kg)/m</t>
  </si>
  <si>
    <r>
      <t>Cons. Agua (m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/m</t>
    </r>
    <r>
      <rPr>
        <sz val="14"/>
        <color theme="1"/>
        <rFont val="Calibri"/>
        <family val="2"/>
        <scheme val="minor"/>
      </rPr>
      <t>)</t>
    </r>
  </si>
  <si>
    <r>
      <t>Cons. Energía prim.  (MJ/m</t>
    </r>
    <r>
      <rPr>
        <sz val="14"/>
        <color theme="1"/>
        <rFont val="Calibri"/>
        <family val="2"/>
        <scheme val="minor"/>
      </rPr>
      <t>)</t>
    </r>
  </si>
  <si>
    <r>
      <t>Calentamiento global  (kg/m</t>
    </r>
    <r>
      <rPr>
        <sz val="14"/>
        <color theme="1"/>
        <rFont val="Calibri"/>
        <family val="2"/>
        <scheme val="minor"/>
      </rPr>
      <t>)</t>
    </r>
  </si>
  <si>
    <r>
      <t>Potencial de acidificación  (g/m</t>
    </r>
    <r>
      <rPr>
        <sz val="14"/>
        <color theme="1"/>
        <rFont val="Calibri"/>
        <family val="2"/>
        <scheme val="minor"/>
      </rPr>
      <t>)</t>
    </r>
  </si>
  <si>
    <r>
      <t>Formación fotoq. Ozono  (g/m</t>
    </r>
    <r>
      <rPr>
        <sz val="14"/>
        <color theme="1"/>
        <rFont val="Calibri"/>
        <family val="2"/>
        <scheme val="minor"/>
      </rPr>
      <t>)</t>
    </r>
  </si>
  <si>
    <r>
      <t xml:space="preserve">Separación entre barras superiores </t>
    </r>
    <r>
      <rPr>
        <sz val="11"/>
        <color theme="1"/>
        <rFont val="Calibri"/>
        <family val="2"/>
      </rPr>
      <t>≥</t>
    </r>
  </si>
  <si>
    <t>consumo(/m)</t>
  </si>
  <si>
    <t>Material reciclable %</t>
  </si>
  <si>
    <r>
      <t>consumo(/m</t>
    </r>
    <r>
      <rPr>
        <b/>
        <u/>
        <vertAlign val="superscript"/>
        <sz val="16"/>
        <color theme="1"/>
        <rFont val="Calibri"/>
        <family val="2"/>
        <scheme val="minor"/>
      </rPr>
      <t>3</t>
    </r>
    <r>
      <rPr>
        <b/>
        <u/>
        <sz val="16"/>
        <color theme="1"/>
        <rFont val="Calibri"/>
        <family val="2"/>
        <scheme val="minor"/>
      </rPr>
      <t>)</t>
    </r>
  </si>
  <si>
    <t>Cons. De recursos</t>
  </si>
  <si>
    <t>Certificaciones</t>
  </si>
  <si>
    <t xml:space="preserve">Estética </t>
  </si>
  <si>
    <t>Creación de Empleo</t>
  </si>
  <si>
    <t>Empleo generado</t>
  </si>
  <si>
    <t>Consumo local</t>
  </si>
  <si>
    <t>Comb. Poco frecuente o carga total característica</t>
  </si>
  <si>
    <t>Comb frecuente</t>
  </si>
  <si>
    <t>Comb. Cuasipermanente</t>
  </si>
  <si>
    <t>Poner uno en la acción deseada</t>
  </si>
  <si>
    <t>Q(ELS)</t>
  </si>
  <si>
    <r>
      <t>Cons. Mat. Primas (kg/m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</si>
  <si>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r>
      <t>Cons. Agua (m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/m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</si>
  <si>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r>
      <t>Cons. Energía prim.  (MJ/m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</si>
  <si>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r>
      <t>Calentamiento global  (kg/m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</si>
  <si>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r>
      <t>Potencial de acidificación  (g/m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</si>
  <si>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r>
      <t>Formación fotoq. Ozono  (g/m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</si>
  <si>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t>¿Acero con certificado?</t>
  </si>
  <si>
    <t>¿Cemento con certificado?</t>
  </si>
  <si>
    <t>Acero con certificado del producto</t>
  </si>
  <si>
    <t>Cemento con certificado del producto</t>
  </si>
  <si>
    <t>Certif. del producto</t>
  </si>
  <si>
    <t>Certificado del acero y del cemento</t>
  </si>
  <si>
    <t>¿Certificado OHSAS del contratista?</t>
  </si>
  <si>
    <t>Certificado OHSAS</t>
  </si>
  <si>
    <t>(comb. Poco frecuente)</t>
  </si>
  <si>
    <r>
      <t>E</t>
    </r>
    <r>
      <rPr>
        <b/>
        <vertAlign val="subscript"/>
        <sz val="11"/>
        <color theme="1"/>
        <rFont val="Calibri"/>
        <family val="2"/>
        <scheme val="minor"/>
      </rPr>
      <t>cm</t>
    </r>
    <r>
      <rPr>
        <b/>
        <sz val="11"/>
        <color theme="1"/>
        <rFont val="Calibri"/>
        <family val="2"/>
        <scheme val="minor"/>
      </rPr>
      <t>=</t>
    </r>
  </si>
  <si>
    <r>
      <t>N/mm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</si>
  <si>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</si>
  <si>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σ</t>
    </r>
    <r>
      <rPr>
        <b/>
        <vertAlign val="subscript"/>
        <sz val="12"/>
        <color theme="1"/>
        <rFont val="Calibri"/>
        <family val="2"/>
      </rPr>
      <t>c</t>
    </r>
    <r>
      <rPr>
        <b/>
        <sz val="12"/>
        <color theme="1"/>
        <rFont val="Calibri"/>
        <family val="2"/>
      </rPr>
      <t>=</t>
    </r>
  </si>
  <si>
    <r>
      <t xml:space="preserve">Fisuración por compresión: </t>
    </r>
    <r>
      <rPr>
        <b/>
        <u/>
        <sz val="14"/>
        <color theme="4" tint="-0.499984740745262"/>
        <rFont val="Calibri"/>
        <family val="2"/>
        <scheme val="minor"/>
      </rPr>
      <t>Eurocódigo y EHE</t>
    </r>
  </si>
  <si>
    <t>Comb. Poco frecuente:</t>
  </si>
  <si>
    <r>
      <t>σ</t>
    </r>
    <r>
      <rPr>
        <b/>
        <vertAlign val="subscript"/>
        <sz val="12"/>
        <color theme="1"/>
        <rFont val="Calibri"/>
        <family val="2"/>
        <scheme val="minor"/>
      </rPr>
      <t>c</t>
    </r>
    <r>
      <rPr>
        <b/>
        <sz val="12"/>
        <color theme="1"/>
        <rFont val="Calibri"/>
        <family val="2"/>
      </rPr>
      <t>≤0,6·f</t>
    </r>
    <r>
      <rPr>
        <b/>
        <vertAlign val="subscript"/>
        <sz val="12"/>
        <color theme="1"/>
        <rFont val="Calibri"/>
        <family val="2"/>
      </rPr>
      <t xml:space="preserve">ck,j </t>
    </r>
  </si>
  <si>
    <t>Comb. Cuasipermanente:</t>
  </si>
  <si>
    <r>
      <t>σ</t>
    </r>
    <r>
      <rPr>
        <b/>
        <vertAlign val="subscript"/>
        <sz val="12"/>
        <color theme="1"/>
        <rFont val="Calibri"/>
        <family val="2"/>
        <scheme val="minor"/>
      </rPr>
      <t>c</t>
    </r>
    <r>
      <rPr>
        <b/>
        <sz val="12"/>
        <color theme="1"/>
        <rFont val="Calibri"/>
        <family val="2"/>
      </rPr>
      <t>≤0,45·f</t>
    </r>
    <r>
      <rPr>
        <b/>
        <vertAlign val="subscript"/>
        <sz val="12"/>
        <color theme="1"/>
        <rFont val="Calibri"/>
        <family val="2"/>
      </rPr>
      <t xml:space="preserve">ck,j </t>
    </r>
  </si>
  <si>
    <t>¿Fisuración por compresión?</t>
  </si>
  <si>
    <r>
      <t>σ</t>
    </r>
    <r>
      <rPr>
        <b/>
        <vertAlign val="subscript"/>
        <sz val="11"/>
        <rFont val="Calibri"/>
        <family val="2"/>
        <scheme val="minor"/>
      </rPr>
      <t>c</t>
    </r>
    <r>
      <rPr>
        <b/>
        <sz val="11"/>
        <rFont val="Calibri"/>
        <family val="2"/>
      </rPr>
      <t>≤0,6·f</t>
    </r>
    <r>
      <rPr>
        <b/>
        <vertAlign val="subscript"/>
        <sz val="11"/>
        <rFont val="Calibri"/>
        <family val="2"/>
      </rPr>
      <t xml:space="preserve">ck,j </t>
    </r>
  </si>
  <si>
    <t>Combinación poco frecuente</t>
  </si>
  <si>
    <t>Combinación cuasipermanente</t>
  </si>
  <si>
    <r>
      <t>σ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</rPr>
      <t>≤0,45·f</t>
    </r>
    <r>
      <rPr>
        <b/>
        <vertAlign val="subscript"/>
        <sz val="11"/>
        <color theme="1"/>
        <rFont val="Calibri"/>
        <family val="2"/>
      </rPr>
      <t xml:space="preserve">ck,j </t>
    </r>
  </si>
  <si>
    <t>Barras a cortante</t>
  </si>
  <si>
    <t>Euros/m</t>
  </si>
  <si>
    <t>L/divisor</t>
  </si>
  <si>
    <t>divisor=</t>
  </si>
  <si>
    <t xml:space="preserve">Flecha máxima </t>
  </si>
  <si>
    <t>Recubrimiento  &gt;</t>
  </si>
  <si>
    <r>
      <t>Φ</t>
    </r>
    <r>
      <rPr>
        <vertAlign val="subscript"/>
        <sz val="12"/>
        <color theme="1"/>
        <rFont val="Cambria"/>
        <family val="1"/>
      </rPr>
      <t>max</t>
    </r>
    <r>
      <rPr>
        <sz val="12"/>
        <color theme="1"/>
        <rFont val="Cambria"/>
        <family val="1"/>
      </rPr>
      <t>=</t>
    </r>
  </si>
  <si>
    <r>
      <t>1,25*D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=</t>
    </r>
  </si>
  <si>
    <t>Reciclaje de residuos</t>
  </si>
  <si>
    <t>kN/m</t>
  </si>
  <si>
    <t>ELU-Solicitaciones</t>
  </si>
  <si>
    <t>ELU-Datos</t>
  </si>
  <si>
    <t>ELS-Datos</t>
  </si>
  <si>
    <t>ELS-Solicits.</t>
  </si>
  <si>
    <r>
      <t>1ª Opción:  Cálculo de A</t>
    </r>
    <r>
      <rPr>
        <b/>
        <vertAlign val="subscript"/>
        <sz val="11"/>
        <color indexed="8"/>
        <rFont val="Calibri"/>
        <family val="2"/>
      </rPr>
      <t>α</t>
    </r>
  </si>
  <si>
    <t>Opción</t>
  </si>
  <si>
    <r>
      <t>2ª Opción:  Cálculo de A</t>
    </r>
    <r>
      <rPr>
        <b/>
        <vertAlign val="subscript"/>
        <sz val="11"/>
        <color theme="1"/>
        <rFont val="Calibri"/>
        <family val="2"/>
        <scheme val="minor"/>
      </rPr>
      <t>α mín</t>
    </r>
  </si>
  <si>
    <t>Ind. Sost. Global</t>
  </si>
  <si>
    <t>Ind. Económico</t>
  </si>
  <si>
    <t>Ind. Medioambiental</t>
  </si>
  <si>
    <t>Ind. Social</t>
  </si>
  <si>
    <t>Q(ELS)(kN/m)</t>
  </si>
  <si>
    <r>
      <t>s</t>
    </r>
    <r>
      <rPr>
        <b/>
        <vertAlign val="subscript"/>
        <sz val="12"/>
        <color theme="1"/>
        <rFont val="Calibri"/>
        <family val="2"/>
        <scheme val="minor"/>
      </rPr>
      <t>r,máx</t>
    </r>
    <r>
      <rPr>
        <b/>
        <sz val="12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</si>
  <si>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ctm,fl</t>
    </r>
    <r>
      <rPr>
        <b/>
        <sz val="11"/>
        <color theme="1"/>
        <rFont val="Calibri"/>
        <family val="2"/>
        <scheme val="minor"/>
      </rPr>
      <t>=</t>
    </r>
  </si>
  <si>
    <r>
      <t>V</t>
    </r>
    <r>
      <rPr>
        <b/>
        <vertAlign val="subscript"/>
        <sz val="11"/>
        <color indexed="8"/>
        <rFont val="Calibri"/>
        <family val="2"/>
      </rPr>
      <t>rd,1</t>
    </r>
    <r>
      <rPr>
        <b/>
        <sz val="11"/>
        <color indexed="8"/>
        <rFont val="Calibri"/>
        <family val="2"/>
      </rPr>
      <t xml:space="preserve"> ≤ V</t>
    </r>
    <r>
      <rPr>
        <b/>
        <vertAlign val="subscript"/>
        <sz val="11"/>
        <color indexed="8"/>
        <rFont val="Calibri"/>
        <family val="2"/>
      </rPr>
      <t>u1</t>
    </r>
    <r>
      <rPr>
        <b/>
        <sz val="11"/>
        <color indexed="8"/>
        <rFont val="Calibri"/>
        <family val="2"/>
      </rPr>
      <t>?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</si>
  <si>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rd,1</t>
    </r>
    <r>
      <rPr>
        <b/>
        <sz val="11"/>
        <color theme="1"/>
        <rFont val="Calibri"/>
        <family val="2"/>
        <scheme val="minor"/>
      </rPr>
      <t>=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</si>
  <si>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rd,2</t>
    </r>
    <r>
      <rPr>
        <b/>
        <sz val="11"/>
        <color theme="1"/>
        <rFont val="Calibri"/>
        <family val="2"/>
        <scheme val="minor"/>
      </rPr>
      <t>=</t>
    </r>
  </si>
  <si>
    <r>
      <t>Suponer    S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S</t>
    </r>
    <r>
      <rPr>
        <b/>
        <vertAlign val="subscript"/>
        <sz val="11"/>
        <color theme="1"/>
        <rFont val="Calibri"/>
        <family val="2"/>
        <scheme val="minor"/>
      </rPr>
      <t>tmáx</t>
    </r>
    <r>
      <rPr>
        <b/>
        <sz val="11"/>
        <color theme="1"/>
        <rFont val="Calibri"/>
        <family val="2"/>
        <scheme val="minor"/>
      </rPr>
      <t xml:space="preserve">     S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</t>
    </r>
  </si>
  <si>
    <t>KN·m</t>
  </si>
  <si>
    <t>Plastificador</t>
  </si>
  <si>
    <t>Peso=</t>
  </si>
  <si>
    <t>Nota aquí y aclaración en memoria</t>
  </si>
  <si>
    <t>Peso ( Tn)·Km transportados</t>
  </si>
  <si>
    <t>corta distancia(&lt;150km), larga distancia</t>
  </si>
  <si>
    <t>Acero general( mezcla con mayoría de primario y menor porcentaje de reciclado)</t>
  </si>
  <si>
    <r>
      <t>Se establecen 3 zonas diferentes de armado: 2 extremas con el A</t>
    </r>
    <r>
      <rPr>
        <sz val="11"/>
        <color theme="1"/>
        <rFont val="Calibri"/>
        <family val="2"/>
      </rPr>
      <t>α necesario de cálculo, al que se le prolonga a cada lado la mitad del canto y una zona central con la Aα mínima</t>
    </r>
  </si>
  <si>
    <t>Elegido</t>
  </si>
  <si>
    <t>1 Si, 0 No</t>
  </si>
  <si>
    <t>Fuente: Jiménez Montoya 2009</t>
  </si>
  <si>
    <t>Datos de impacto del aditivo y agua</t>
  </si>
  <si>
    <t>Incluyen desde la extracción hasta que está en condicones para formar el hormigón</t>
  </si>
  <si>
    <t>Fuente: EHE-08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</si>
</sst>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000"/>
    <numFmt numFmtId="168" formatCode="0.00000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u val="doubleAccounting"/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212121"/>
      <name val="Inherit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u/>
      <sz val="14"/>
      <color theme="4" tint="-0.249977111117893"/>
      <name val="Calibri"/>
      <family val="2"/>
      <scheme val="minor"/>
    </font>
    <font>
      <b/>
      <u/>
      <vertAlign val="subscript"/>
      <sz val="14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4" tint="-0.249977111117893"/>
      <name val="Calibri"/>
      <family val="2"/>
      <scheme val="minor"/>
    </font>
    <font>
      <u/>
      <vertAlign val="superscript"/>
      <sz val="1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u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6"/>
      <color rgb="FFFF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u/>
      <sz val="18"/>
      <color theme="0"/>
      <name val="Calibri"/>
      <family val="2"/>
      <scheme val="minor"/>
    </font>
    <font>
      <b/>
      <u/>
      <vertAlign val="superscript"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name val="Cambria"/>
      <family val="1"/>
    </font>
    <font>
      <sz val="11"/>
      <color theme="0"/>
      <name val="Calibri"/>
      <family val="2"/>
      <scheme val="minor"/>
    </font>
    <font>
      <b/>
      <u/>
      <sz val="14"/>
      <color theme="4" tint="-0.499984740745262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i/>
      <sz val="14"/>
      <color rgb="FFFF0000"/>
      <name val="Calibri"/>
      <family val="2"/>
      <scheme val="minor"/>
    </font>
    <font>
      <sz val="12"/>
      <color theme="1"/>
      <name val="Cambria"/>
      <family val="1"/>
    </font>
    <font>
      <vertAlign val="subscript"/>
      <sz val="12"/>
      <color theme="1"/>
      <name val="Cambria"/>
      <family val="1"/>
    </font>
    <font>
      <i/>
      <sz val="10"/>
      <color theme="1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3" fillId="0" borderId="0"/>
    <xf numFmtId="9" fontId="53" fillId="0" borderId="0" applyFont="0" applyFill="0" applyBorder="0" applyAlignment="0" applyProtection="0"/>
  </cellStyleXfs>
  <cellXfs count="1023">
    <xf numFmtId="0" fontId="0" fillId="0" borderId="0" xfId="0"/>
    <xf numFmtId="0" fontId="0" fillId="4" borderId="3" xfId="0" applyFont="1" applyFill="1" applyBorder="1"/>
    <xf numFmtId="0" fontId="1" fillId="4" borderId="1" xfId="0" applyFont="1" applyFill="1" applyBorder="1" applyAlignment="1">
      <alignment horizontal="right"/>
    </xf>
    <xf numFmtId="0" fontId="0" fillId="4" borderId="3" xfId="0" applyFill="1" applyBorder="1"/>
    <xf numFmtId="0" fontId="0" fillId="4" borderId="6" xfId="0" applyFill="1" applyBorder="1"/>
    <xf numFmtId="0" fontId="4" fillId="4" borderId="1" xfId="0" applyFont="1" applyFill="1" applyBorder="1" applyAlignment="1">
      <alignment horizontal="right"/>
    </xf>
    <xf numFmtId="2" fontId="0" fillId="4" borderId="3" xfId="0" applyNumberFormat="1" applyFill="1" applyBorder="1"/>
    <xf numFmtId="0" fontId="4" fillId="4" borderId="7" xfId="0" applyFont="1" applyFill="1" applyBorder="1" applyAlignment="1">
      <alignment horizontal="right"/>
    </xf>
    <xf numFmtId="2" fontId="0" fillId="4" borderId="8" xfId="0" applyNumberFormat="1" applyFill="1" applyBorder="1"/>
    <xf numFmtId="0" fontId="0" fillId="4" borderId="9" xfId="0" applyFill="1" applyBorder="1"/>
    <xf numFmtId="0" fontId="0" fillId="4" borderId="6" xfId="0" applyFont="1" applyFill="1" applyBorder="1"/>
    <xf numFmtId="0" fontId="1" fillId="4" borderId="13" xfId="0" applyFont="1" applyFill="1" applyBorder="1" applyAlignment="1">
      <alignment horizontal="right"/>
    </xf>
    <xf numFmtId="0" fontId="0" fillId="4" borderId="14" xfId="0" applyFont="1" applyFill="1" applyBorder="1"/>
    <xf numFmtId="0" fontId="8" fillId="4" borderId="1" xfId="0" applyFont="1" applyFill="1" applyBorder="1" applyAlignment="1">
      <alignment horizontal="right"/>
    </xf>
    <xf numFmtId="164" fontId="0" fillId="4" borderId="3" xfId="0" applyNumberFormat="1" applyFill="1" applyBorder="1"/>
    <xf numFmtId="166" fontId="0" fillId="4" borderId="3" xfId="0" applyNumberFormat="1" applyFill="1" applyBorder="1" applyAlignment="1">
      <alignment horizontal="left"/>
    </xf>
    <xf numFmtId="165" fontId="0" fillId="4" borderId="3" xfId="0" applyNumberFormat="1" applyFill="1" applyBorder="1"/>
    <xf numFmtId="0" fontId="1" fillId="4" borderId="16" xfId="0" applyFont="1" applyFill="1" applyBorder="1" applyAlignment="1">
      <alignment horizontal="right"/>
    </xf>
    <xf numFmtId="0" fontId="1" fillId="4" borderId="3" xfId="0" applyFont="1" applyFill="1" applyBorder="1"/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/>
    <xf numFmtId="0" fontId="1" fillId="4" borderId="15" xfId="0" applyFont="1" applyFill="1" applyBorder="1"/>
    <xf numFmtId="0" fontId="1" fillId="4" borderId="6" xfId="0" quotePrefix="1" applyFont="1" applyFill="1" applyBorder="1" applyAlignment="1">
      <alignment horizontal="left"/>
    </xf>
    <xf numFmtId="2" fontId="0" fillId="4" borderId="3" xfId="0" applyNumberFormat="1" applyFill="1" applyBorder="1" applyAlignment="1">
      <alignment horizontal="left"/>
    </xf>
    <xf numFmtId="164" fontId="0" fillId="4" borderId="3" xfId="0" applyNumberFormat="1" applyFill="1" applyBorder="1" applyAlignment="1">
      <alignment horizontal="left"/>
    </xf>
    <xf numFmtId="2" fontId="0" fillId="4" borderId="3" xfId="0" applyNumberForma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0" fillId="4" borderId="27" xfId="0" applyFill="1" applyBorder="1" applyAlignment="1">
      <alignment horizontal="center"/>
    </xf>
    <xf numFmtId="0" fontId="1" fillId="4" borderId="3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164" fontId="0" fillId="4" borderId="3" xfId="0" applyNumberFormat="1" applyFill="1" applyBorder="1" applyAlignment="1">
      <alignment horizontal="center"/>
    </xf>
    <xf numFmtId="0" fontId="1" fillId="4" borderId="16" xfId="0" applyFont="1" applyFill="1" applyBorder="1"/>
    <xf numFmtId="2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19" xfId="0" applyFill="1" applyBorder="1" applyAlignment="1"/>
    <xf numFmtId="0" fontId="0" fillId="4" borderId="20" xfId="0" applyFill="1" applyBorder="1" applyAlignment="1"/>
    <xf numFmtId="2" fontId="0" fillId="4" borderId="5" xfId="0" applyNumberFormat="1" applyFill="1" applyBorder="1"/>
    <xf numFmtId="0" fontId="0" fillId="4" borderId="5" xfId="0" applyFill="1" applyBorder="1"/>
    <xf numFmtId="0" fontId="0" fillId="4" borderId="21" xfId="0" applyFill="1" applyBorder="1" applyAlignment="1"/>
    <xf numFmtId="0" fontId="0" fillId="4" borderId="22" xfId="0" applyFill="1" applyBorder="1" applyAlignment="1"/>
    <xf numFmtId="2" fontId="12" fillId="4" borderId="3" xfId="0" applyNumberFormat="1" applyFont="1" applyFill="1" applyBorder="1"/>
    <xf numFmtId="0" fontId="0" fillId="4" borderId="3" xfId="0" applyFill="1" applyBorder="1" applyAlignment="1"/>
    <xf numFmtId="0" fontId="0" fillId="4" borderId="6" xfId="0" applyFill="1" applyBorder="1" applyAlignment="1"/>
    <xf numFmtId="2" fontId="0" fillId="4" borderId="17" xfId="0" applyNumberFormat="1" applyFill="1" applyBorder="1"/>
    <xf numFmtId="0" fontId="0" fillId="4" borderId="17" xfId="0" applyFill="1" applyBorder="1" applyAlignment="1"/>
    <xf numFmtId="0" fontId="0" fillId="4" borderId="18" xfId="0" applyFill="1" applyBorder="1" applyAlignment="1"/>
    <xf numFmtId="0" fontId="1" fillId="4" borderId="35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1" fillId="4" borderId="26" xfId="0" applyFont="1" applyFill="1" applyBorder="1"/>
    <xf numFmtId="0" fontId="0" fillId="4" borderId="31" xfId="0" applyFill="1" applyBorder="1"/>
    <xf numFmtId="0" fontId="0" fillId="4" borderId="32" xfId="0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28" xfId="0" applyFill="1" applyBorder="1"/>
    <xf numFmtId="0" fontId="0" fillId="6" borderId="41" xfId="0" applyFill="1" applyBorder="1"/>
    <xf numFmtId="0" fontId="16" fillId="6" borderId="20" xfId="0" applyFont="1" applyFill="1" applyBorder="1"/>
    <xf numFmtId="0" fontId="17" fillId="0" borderId="38" xfId="0" applyFont="1" applyBorder="1" applyAlignment="1">
      <alignment horizontal="right"/>
    </xf>
    <xf numFmtId="0" fontId="0" fillId="0" borderId="0" xfId="0" applyFill="1" applyBorder="1"/>
    <xf numFmtId="0" fontId="1" fillId="4" borderId="33" xfId="0" applyFont="1" applyFill="1" applyBorder="1" applyAlignment="1">
      <alignment horizontal="right"/>
    </xf>
    <xf numFmtId="0" fontId="0" fillId="4" borderId="0" xfId="0" applyFill="1" applyBorder="1"/>
    <xf numFmtId="0" fontId="0" fillId="4" borderId="34" xfId="0" applyFill="1" applyBorder="1"/>
    <xf numFmtId="1" fontId="0" fillId="4" borderId="3" xfId="0" applyNumberFormat="1" applyFill="1" applyBorder="1"/>
    <xf numFmtId="0" fontId="1" fillId="4" borderId="36" xfId="0" applyFont="1" applyFill="1" applyBorder="1" applyAlignment="1">
      <alignment horizontal="right"/>
    </xf>
    <xf numFmtId="0" fontId="0" fillId="0" borderId="19" xfId="0" applyBorder="1"/>
    <xf numFmtId="0" fontId="0" fillId="0" borderId="42" xfId="0" applyBorder="1"/>
    <xf numFmtId="0" fontId="0" fillId="8" borderId="19" xfId="0" applyFill="1" applyBorder="1" applyAlignment="1">
      <alignment horizontal="center"/>
    </xf>
    <xf numFmtId="0" fontId="0" fillId="8" borderId="19" xfId="0" applyFill="1" applyBorder="1"/>
    <xf numFmtId="0" fontId="0" fillId="0" borderId="21" xfId="0" applyBorder="1"/>
    <xf numFmtId="0" fontId="0" fillId="0" borderId="46" xfId="0" applyBorder="1"/>
    <xf numFmtId="0" fontId="0" fillId="0" borderId="47" xfId="0" applyBorder="1"/>
    <xf numFmtId="0" fontId="0" fillId="0" borderId="0" xfId="0" applyBorder="1"/>
    <xf numFmtId="0" fontId="0" fillId="9" borderId="21" xfId="0" applyFill="1" applyBorder="1" applyAlignment="1">
      <alignment horizontal="center"/>
    </xf>
    <xf numFmtId="0" fontId="0" fillId="9" borderId="21" xfId="0" applyFill="1" applyBorder="1"/>
    <xf numFmtId="0" fontId="0" fillId="0" borderId="22" xfId="0" applyBorder="1"/>
    <xf numFmtId="0" fontId="0" fillId="9" borderId="42" xfId="0" applyFill="1" applyBorder="1"/>
    <xf numFmtId="0" fontId="0" fillId="9" borderId="42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0" borderId="34" xfId="0" applyBorder="1"/>
    <xf numFmtId="0" fontId="0" fillId="0" borderId="8" xfId="0" applyBorder="1"/>
    <xf numFmtId="0" fontId="0" fillId="0" borderId="9" xfId="0" applyBorder="1"/>
    <xf numFmtId="0" fontId="0" fillId="9" borderId="22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48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Fill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9" borderId="50" xfId="0" applyFill="1" applyBorder="1" applyAlignment="1">
      <alignment horizontal="center" vertical="center"/>
    </xf>
    <xf numFmtId="0" fontId="0" fillId="0" borderId="51" xfId="0" applyBorder="1"/>
    <xf numFmtId="0" fontId="0" fillId="8" borderId="19" xfId="0" applyFill="1" applyBorder="1" applyAlignment="1">
      <alignment horizontal="center" vertical="center"/>
    </xf>
    <xf numFmtId="165" fontId="0" fillId="10" borderId="19" xfId="0" applyNumberFormat="1" applyFill="1" applyBorder="1"/>
    <xf numFmtId="0" fontId="0" fillId="10" borderId="19" xfId="0" applyFill="1" applyBorder="1"/>
    <xf numFmtId="165" fontId="20" fillId="0" borderId="37" xfId="0" applyNumberFormat="1" applyFont="1" applyBorder="1"/>
    <xf numFmtId="0" fontId="0" fillId="8" borderId="37" xfId="0" applyFill="1" applyBorder="1" applyAlignment="1">
      <alignment horizontal="center"/>
    </xf>
    <xf numFmtId="0" fontId="0" fillId="8" borderId="37" xfId="0" applyFill="1" applyBorder="1"/>
    <xf numFmtId="0" fontId="0" fillId="2" borderId="0" xfId="0" applyFill="1" applyBorder="1"/>
    <xf numFmtId="0" fontId="0" fillId="2" borderId="45" xfId="0" applyFill="1" applyBorder="1"/>
    <xf numFmtId="0" fontId="0" fillId="2" borderId="12" xfId="0" applyFill="1" applyBorder="1"/>
    <xf numFmtId="0" fontId="0" fillId="0" borderId="25" xfId="0" applyFill="1" applyBorder="1"/>
    <xf numFmtId="0" fontId="0" fillId="2" borderId="43" xfId="0" applyFill="1" applyBorder="1"/>
    <xf numFmtId="0" fontId="0" fillId="0" borderId="11" xfId="0" applyBorder="1"/>
    <xf numFmtId="0" fontId="0" fillId="0" borderId="33" xfId="0" applyBorder="1"/>
    <xf numFmtId="0" fontId="0" fillId="2" borderId="10" xfId="0" applyFill="1" applyBorder="1"/>
    <xf numFmtId="0" fontId="0" fillId="2" borderId="33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34" xfId="0" applyFill="1" applyBorder="1"/>
    <xf numFmtId="0" fontId="0" fillId="4" borderId="25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46" xfId="0" applyFill="1" applyBorder="1"/>
    <xf numFmtId="0" fontId="0" fillId="2" borderId="56" xfId="0" applyFill="1" applyBorder="1"/>
    <xf numFmtId="0" fontId="0" fillId="2" borderId="51" xfId="0" applyFill="1" applyBorder="1"/>
    <xf numFmtId="0" fontId="0" fillId="2" borderId="21" xfId="0" applyFill="1" applyBorder="1"/>
    <xf numFmtId="0" fontId="0" fillId="2" borderId="0" xfId="0" applyFill="1" applyBorder="1" applyAlignment="1"/>
    <xf numFmtId="165" fontId="0" fillId="10" borderId="37" xfId="0" applyNumberFormat="1" applyFill="1" applyBorder="1"/>
    <xf numFmtId="0" fontId="0" fillId="8" borderId="61" xfId="0" applyFill="1" applyBorder="1"/>
    <xf numFmtId="165" fontId="0" fillId="8" borderId="19" xfId="0" applyNumberFormat="1" applyFill="1" applyBorder="1"/>
    <xf numFmtId="0" fontId="0" fillId="8" borderId="26" xfId="0" applyFill="1" applyBorder="1"/>
    <xf numFmtId="0" fontId="0" fillId="8" borderId="27" xfId="0" applyFill="1" applyBorder="1"/>
    <xf numFmtId="165" fontId="0" fillId="8" borderId="27" xfId="0" applyNumberFormat="1" applyFill="1" applyBorder="1"/>
    <xf numFmtId="0" fontId="26" fillId="2" borderId="0" xfId="0" applyFont="1" applyFill="1" applyBorder="1"/>
    <xf numFmtId="0" fontId="0" fillId="2" borderId="31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33" xfId="0" applyFill="1" applyBorder="1"/>
    <xf numFmtId="0" fontId="0" fillId="0" borderId="8" xfId="0" applyFill="1" applyBorder="1"/>
    <xf numFmtId="0" fontId="0" fillId="0" borderId="31" xfId="0" applyFill="1" applyBorder="1"/>
    <xf numFmtId="0" fontId="0" fillId="0" borderId="44" xfId="0" applyFill="1" applyBorder="1"/>
    <xf numFmtId="0" fontId="48" fillId="0" borderId="0" xfId="0" applyFont="1" applyFill="1" applyBorder="1"/>
    <xf numFmtId="0" fontId="0" fillId="0" borderId="43" xfId="0" applyFill="1" applyBorder="1"/>
    <xf numFmtId="0" fontId="0" fillId="0" borderId="12" xfId="0" applyBorder="1"/>
    <xf numFmtId="0" fontId="0" fillId="0" borderId="7" xfId="0" applyBorder="1"/>
    <xf numFmtId="0" fontId="0" fillId="4" borderId="3" xfId="0" applyFill="1" applyBorder="1" applyAlignment="1">
      <alignment horizontal="right"/>
    </xf>
    <xf numFmtId="165" fontId="0" fillId="4" borderId="3" xfId="0" applyNumberFormat="1" applyFill="1" applyBorder="1" applyAlignment="1"/>
    <xf numFmtId="1" fontId="0" fillId="4" borderId="5" xfId="0" applyNumberFormat="1" applyFill="1" applyBorder="1"/>
    <xf numFmtId="0" fontId="0" fillId="4" borderId="5" xfId="0" applyFill="1" applyBorder="1" applyAlignment="1"/>
    <xf numFmtId="0" fontId="0" fillId="4" borderId="14" xfId="0" applyFill="1" applyBorder="1" applyAlignment="1"/>
    <xf numFmtId="2" fontId="0" fillId="4" borderId="3" xfId="0" applyNumberFormat="1" applyFont="1" applyFill="1" applyBorder="1"/>
    <xf numFmtId="0" fontId="0" fillId="4" borderId="3" xfId="0" applyFont="1" applyFill="1" applyBorder="1" applyAlignment="1">
      <alignment horizontal="center"/>
    </xf>
    <xf numFmtId="0" fontId="1" fillId="4" borderId="37" xfId="0" applyFont="1" applyFill="1" applyBorder="1"/>
    <xf numFmtId="0" fontId="48" fillId="4" borderId="37" xfId="0" applyFont="1" applyFill="1" applyBorder="1"/>
    <xf numFmtId="0" fontId="19" fillId="13" borderId="23" xfId="0" applyFont="1" applyFill="1" applyBorder="1" applyAlignment="1">
      <alignment horizontal="right"/>
    </xf>
    <xf numFmtId="0" fontId="19" fillId="13" borderId="24" xfId="0" applyFont="1" applyFill="1" applyBorder="1"/>
    <xf numFmtId="0" fontId="19" fillId="13" borderId="25" xfId="0" applyFont="1" applyFill="1" applyBorder="1"/>
    <xf numFmtId="0" fontId="50" fillId="4" borderId="23" xfId="0" applyFont="1" applyFill="1" applyBorder="1"/>
    <xf numFmtId="0" fontId="0" fillId="4" borderId="37" xfId="0" applyFill="1" applyBorder="1"/>
    <xf numFmtId="0" fontId="0" fillId="4" borderId="44" xfId="0" applyFill="1" applyBorder="1"/>
    <xf numFmtId="0" fontId="0" fillId="0" borderId="0" xfId="0" applyFill="1"/>
    <xf numFmtId="0" fontId="1" fillId="4" borderId="30" xfId="0" applyFont="1" applyFill="1" applyBorder="1" applyAlignment="1">
      <alignment horizontal="right"/>
    </xf>
    <xf numFmtId="0" fontId="1" fillId="4" borderId="6" xfId="0" applyFont="1" applyFill="1" applyBorder="1"/>
    <xf numFmtId="0" fontId="22" fillId="4" borderId="32" xfId="0" applyFont="1" applyFill="1" applyBorder="1"/>
    <xf numFmtId="0" fontId="0" fillId="0" borderId="10" xfId="0" applyBorder="1"/>
    <xf numFmtId="0" fontId="23" fillId="4" borderId="37" xfId="0" applyFont="1" applyFill="1" applyBorder="1"/>
    <xf numFmtId="0" fontId="27" fillId="0" borderId="11" xfId="0" applyFont="1" applyBorder="1" applyAlignment="1"/>
    <xf numFmtId="0" fontId="26" fillId="0" borderId="0" xfId="0" applyFont="1" applyBorder="1"/>
    <xf numFmtId="167" fontId="0" fillId="0" borderId="0" xfId="0" applyNumberFormat="1" applyBorder="1"/>
    <xf numFmtId="0" fontId="1" fillId="16" borderId="30" xfId="0" applyFont="1" applyFill="1" applyBorder="1" applyAlignment="1">
      <alignment horizontal="right"/>
    </xf>
    <xf numFmtId="0" fontId="1" fillId="16" borderId="1" xfId="0" applyFont="1" applyFill="1" applyBorder="1" applyAlignment="1">
      <alignment horizontal="right"/>
    </xf>
    <xf numFmtId="0" fontId="1" fillId="16" borderId="16" xfId="0" applyFont="1" applyFill="1" applyBorder="1" applyAlignment="1">
      <alignment horizontal="right"/>
    </xf>
    <xf numFmtId="0" fontId="1" fillId="16" borderId="39" xfId="0" applyFont="1" applyFill="1" applyBorder="1"/>
    <xf numFmtId="0" fontId="52" fillId="4" borderId="32" xfId="0" applyFont="1" applyFill="1" applyBorder="1"/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57" fillId="0" borderId="0" xfId="0" applyFont="1"/>
    <xf numFmtId="0" fontId="20" fillId="0" borderId="0" xfId="0" applyFont="1" applyBorder="1"/>
    <xf numFmtId="0" fontId="53" fillId="13" borderId="23" xfId="1" applyFill="1" applyBorder="1" applyAlignment="1">
      <alignment horizontal="center"/>
    </xf>
    <xf numFmtId="0" fontId="53" fillId="13" borderId="25" xfId="1" applyFill="1" applyBorder="1" applyAlignment="1">
      <alignment horizontal="center"/>
    </xf>
    <xf numFmtId="1" fontId="53" fillId="13" borderId="63" xfId="1" applyNumberFormat="1" applyFill="1" applyBorder="1"/>
    <xf numFmtId="1" fontId="53" fillId="13" borderId="64" xfId="1" applyNumberFormat="1" applyFill="1" applyBorder="1"/>
    <xf numFmtId="166" fontId="53" fillId="13" borderId="64" xfId="1" applyNumberFormat="1" applyFill="1" applyBorder="1"/>
    <xf numFmtId="1" fontId="53" fillId="13" borderId="66" xfId="1" applyNumberFormat="1" applyFill="1" applyBorder="1"/>
    <xf numFmtId="0" fontId="54" fillId="13" borderId="23" xfId="1" applyFont="1" applyFill="1" applyBorder="1" applyAlignment="1">
      <alignment horizontal="left"/>
    </xf>
    <xf numFmtId="0" fontId="53" fillId="13" borderId="66" xfId="1" applyFill="1" applyBorder="1" applyAlignment="1">
      <alignment horizontal="left"/>
    </xf>
    <xf numFmtId="1" fontId="53" fillId="13" borderId="38" xfId="1" applyNumberFormat="1" applyFill="1" applyBorder="1"/>
    <xf numFmtId="2" fontId="53" fillId="13" borderId="65" xfId="1" applyNumberFormat="1" applyFill="1" applyBorder="1"/>
    <xf numFmtId="2" fontId="53" fillId="13" borderId="64" xfId="1" applyNumberFormat="1" applyFill="1" applyBorder="1"/>
    <xf numFmtId="2" fontId="53" fillId="13" borderId="67" xfId="1" applyNumberFormat="1" applyFill="1" applyBorder="1"/>
    <xf numFmtId="0" fontId="53" fillId="13" borderId="58" xfId="1" applyFill="1" applyBorder="1"/>
    <xf numFmtId="1" fontId="54" fillId="13" borderId="38" xfId="1" applyNumberFormat="1" applyFont="1" applyFill="1" applyBorder="1" applyAlignment="1">
      <alignment horizontal="right"/>
    </xf>
    <xf numFmtId="0" fontId="0" fillId="13" borderId="38" xfId="0" applyFill="1" applyBorder="1"/>
    <xf numFmtId="1" fontId="53" fillId="13" borderId="0" xfId="1" applyNumberFormat="1" applyFill="1" applyBorder="1"/>
    <xf numFmtId="2" fontId="53" fillId="13" borderId="23" xfId="1" applyNumberFormat="1" applyFill="1" applyBorder="1"/>
    <xf numFmtId="2" fontId="53" fillId="13" borderId="30" xfId="1" applyNumberFormat="1" applyFill="1" applyBorder="1"/>
    <xf numFmtId="2" fontId="53" fillId="13" borderId="1" xfId="1" applyNumberFormat="1" applyFill="1" applyBorder="1"/>
    <xf numFmtId="0" fontId="0" fillId="13" borderId="0" xfId="0" applyFill="1" applyBorder="1"/>
    <xf numFmtId="2" fontId="53" fillId="13" borderId="13" xfId="1" applyNumberFormat="1" applyFill="1" applyBorder="1"/>
    <xf numFmtId="1" fontId="53" fillId="13" borderId="16" xfId="1" applyNumberFormat="1" applyFill="1" applyBorder="1"/>
    <xf numFmtId="0" fontId="0" fillId="13" borderId="23" xfId="0" applyFill="1" applyBorder="1"/>
    <xf numFmtId="1" fontId="53" fillId="13" borderId="19" xfId="1" applyNumberFormat="1" applyFill="1" applyBorder="1"/>
    <xf numFmtId="2" fontId="53" fillId="13" borderId="19" xfId="1" applyNumberFormat="1" applyFill="1" applyBorder="1"/>
    <xf numFmtId="1" fontId="54" fillId="13" borderId="23" xfId="1" applyNumberFormat="1" applyFont="1" applyFill="1" applyBorder="1" applyAlignment="1">
      <alignment horizontal="right"/>
    </xf>
    <xf numFmtId="1" fontId="53" fillId="13" borderId="1" xfId="1" applyNumberFormat="1" applyFill="1" applyBorder="1"/>
    <xf numFmtId="0" fontId="53" fillId="13" borderId="16" xfId="1" applyFill="1" applyBorder="1" applyAlignment="1">
      <alignment horizontal="left"/>
    </xf>
    <xf numFmtId="0" fontId="53" fillId="13" borderId="19" xfId="1" applyFill="1" applyBorder="1" applyAlignment="1">
      <alignment horizontal="left"/>
    </xf>
    <xf numFmtId="0" fontId="53" fillId="13" borderId="38" xfId="1" applyFill="1" applyBorder="1"/>
    <xf numFmtId="1" fontId="53" fillId="13" borderId="42" xfId="1" applyNumberFormat="1" applyFill="1" applyBorder="1"/>
    <xf numFmtId="1" fontId="0" fillId="13" borderId="19" xfId="0" applyNumberFormat="1" applyFill="1" applyBorder="1"/>
    <xf numFmtId="0" fontId="0" fillId="13" borderId="19" xfId="0" applyFill="1" applyBorder="1"/>
    <xf numFmtId="0" fontId="0" fillId="13" borderId="21" xfId="0" applyFill="1" applyBorder="1"/>
    <xf numFmtId="0" fontId="0" fillId="10" borderId="37" xfId="0" applyFill="1" applyBorder="1"/>
    <xf numFmtId="0" fontId="0" fillId="8" borderId="63" xfId="0" applyFill="1" applyBorder="1"/>
    <xf numFmtId="0" fontId="0" fillId="10" borderId="64" xfId="0" applyFill="1" applyBorder="1"/>
    <xf numFmtId="0" fontId="0" fillId="8" borderId="63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17" borderId="64" xfId="0" applyFill="1" applyBorder="1" applyAlignment="1">
      <alignment horizontal="center"/>
    </xf>
    <xf numFmtId="0" fontId="0" fillId="17" borderId="66" xfId="0" applyFill="1" applyBorder="1" applyAlignment="1">
      <alignment horizontal="center"/>
    </xf>
    <xf numFmtId="0" fontId="0" fillId="19" borderId="47" xfId="0" applyFill="1" applyBorder="1"/>
    <xf numFmtId="0" fontId="0" fillId="19" borderId="5" xfId="0" applyFill="1" applyBorder="1"/>
    <xf numFmtId="0" fontId="0" fillId="19" borderId="45" xfId="0" applyFill="1" applyBorder="1"/>
    <xf numFmtId="0" fontId="0" fillId="19" borderId="36" xfId="0" applyFill="1" applyBorder="1"/>
    <xf numFmtId="0" fontId="0" fillId="19" borderId="3" xfId="0" applyFill="1" applyBorder="1"/>
    <xf numFmtId="0" fontId="0" fillId="19" borderId="37" xfId="0" applyFill="1" applyBorder="1"/>
    <xf numFmtId="0" fontId="0" fillId="10" borderId="19" xfId="0" applyFill="1" applyBorder="1" applyAlignment="1">
      <alignment horizontal="center"/>
    </xf>
    <xf numFmtId="0" fontId="0" fillId="20" borderId="10" xfId="0" applyFill="1" applyBorder="1"/>
    <xf numFmtId="0" fontId="0" fillId="20" borderId="11" xfId="0" applyFill="1" applyBorder="1"/>
    <xf numFmtId="0" fontId="0" fillId="20" borderId="12" xfId="0" applyFill="1" applyBorder="1"/>
    <xf numFmtId="0" fontId="0" fillId="20" borderId="61" xfId="0" applyFill="1" applyBorder="1" applyAlignment="1">
      <alignment horizontal="right"/>
    </xf>
    <xf numFmtId="0" fontId="0" fillId="20" borderId="19" xfId="0" applyFill="1" applyBorder="1" applyAlignment="1">
      <alignment horizontal="left"/>
    </xf>
    <xf numFmtId="0" fontId="0" fillId="20" borderId="0" xfId="0" applyFill="1" applyBorder="1"/>
    <xf numFmtId="0" fontId="0" fillId="20" borderId="34" xfId="0" applyFill="1" applyBorder="1"/>
    <xf numFmtId="0" fontId="0" fillId="20" borderId="33" xfId="0" applyFill="1" applyBorder="1"/>
    <xf numFmtId="0" fontId="1" fillId="20" borderId="19" xfId="0" applyFont="1" applyFill="1" applyBorder="1" applyAlignment="1">
      <alignment horizontal="left"/>
    </xf>
    <xf numFmtId="0" fontId="0" fillId="20" borderId="7" xfId="0" applyFill="1" applyBorder="1"/>
    <xf numFmtId="0" fontId="60" fillId="20" borderId="8" xfId="0" applyFont="1" applyFill="1" applyBorder="1"/>
    <xf numFmtId="0" fontId="0" fillId="20" borderId="8" xfId="0" applyFill="1" applyBorder="1"/>
    <xf numFmtId="0" fontId="0" fillId="20" borderId="9" xfId="0" applyFill="1" applyBorder="1"/>
    <xf numFmtId="0" fontId="0" fillId="12" borderId="70" xfId="0" applyFill="1" applyBorder="1"/>
    <xf numFmtId="0" fontId="0" fillId="12" borderId="61" xfId="0" applyFill="1" applyBorder="1"/>
    <xf numFmtId="0" fontId="0" fillId="12" borderId="26" xfId="0" applyFill="1" applyBorder="1"/>
    <xf numFmtId="0" fontId="0" fillId="3" borderId="59" xfId="0" applyFill="1" applyBorder="1"/>
    <xf numFmtId="0" fontId="0" fillId="3" borderId="40" xfId="0" applyFill="1" applyBorder="1"/>
    <xf numFmtId="0" fontId="0" fillId="3" borderId="60" xfId="0" applyFill="1" applyBorder="1"/>
    <xf numFmtId="0" fontId="0" fillId="4" borderId="37" xfId="0" applyFont="1" applyFill="1" applyBorder="1"/>
    <xf numFmtId="0" fontId="19" fillId="6" borderId="23" xfId="0" applyFont="1" applyFill="1" applyBorder="1" applyAlignment="1">
      <alignment horizontal="right"/>
    </xf>
    <xf numFmtId="0" fontId="1" fillId="0" borderId="19" xfId="0" applyFont="1" applyBorder="1"/>
    <xf numFmtId="0" fontId="1" fillId="0" borderId="0" xfId="0" applyFont="1"/>
    <xf numFmtId="165" fontId="19" fillId="14" borderId="24" xfId="0" applyNumberFormat="1" applyFont="1" applyFill="1" applyBorder="1" applyAlignment="1">
      <alignment horizontal="center"/>
    </xf>
    <xf numFmtId="0" fontId="30" fillId="6" borderId="19" xfId="0" applyFont="1" applyFill="1" applyBorder="1"/>
    <xf numFmtId="0" fontId="33" fillId="6" borderId="3" xfId="0" applyFont="1" applyFill="1" applyBorder="1"/>
    <xf numFmtId="165" fontId="30" fillId="3" borderId="3" xfId="0" applyNumberFormat="1" applyFont="1" applyFill="1" applyBorder="1" applyAlignment="1">
      <alignment horizontal="center"/>
    </xf>
    <xf numFmtId="0" fontId="30" fillId="6" borderId="3" xfId="0" applyFont="1" applyFill="1" applyBorder="1"/>
    <xf numFmtId="0" fontId="30" fillId="6" borderId="3" xfId="0" applyFont="1" applyFill="1" applyBorder="1" applyAlignment="1">
      <alignment horizontal="center"/>
    </xf>
    <xf numFmtId="0" fontId="30" fillId="6" borderId="48" xfId="0" applyFont="1" applyFill="1" applyBorder="1"/>
    <xf numFmtId="9" fontId="62" fillId="0" borderId="0" xfId="0" applyNumberFormat="1" applyFont="1"/>
    <xf numFmtId="165" fontId="30" fillId="0" borderId="0" xfId="0" applyNumberFormat="1" applyFont="1" applyAlignment="1">
      <alignment horizontal="center"/>
    </xf>
    <xf numFmtId="0" fontId="30" fillId="0" borderId="0" xfId="0" applyFont="1"/>
    <xf numFmtId="165" fontId="30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6" borderId="21" xfId="0" applyFont="1" applyFill="1" applyBorder="1"/>
    <xf numFmtId="0" fontId="30" fillId="6" borderId="36" xfId="0" applyFont="1" applyFill="1" applyBorder="1"/>
    <xf numFmtId="0" fontId="30" fillId="6" borderId="42" xfId="0" applyFont="1" applyFill="1" applyBorder="1"/>
    <xf numFmtId="0" fontId="19" fillId="19" borderId="38" xfId="0" applyFont="1" applyFill="1" applyBorder="1"/>
    <xf numFmtId="0" fontId="0" fillId="22" borderId="23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0" fillId="22" borderId="54" xfId="0" applyFill="1" applyBorder="1" applyAlignment="1">
      <alignment horizontal="center"/>
    </xf>
    <xf numFmtId="0" fontId="0" fillId="22" borderId="55" xfId="0" applyFill="1" applyBorder="1" applyAlignment="1">
      <alignment horizontal="center"/>
    </xf>
    <xf numFmtId="0" fontId="0" fillId="22" borderId="69" xfId="0" applyFill="1" applyBorder="1" applyAlignment="1">
      <alignment horizontal="center"/>
    </xf>
    <xf numFmtId="0" fontId="0" fillId="12" borderId="54" xfId="0" applyFill="1" applyBorder="1"/>
    <xf numFmtId="0" fontId="0" fillId="12" borderId="36" xfId="0" applyFill="1" applyBorder="1"/>
    <xf numFmtId="0" fontId="0" fillId="12" borderId="28" xfId="0" applyFill="1" applyBorder="1"/>
    <xf numFmtId="0" fontId="0" fillId="8" borderId="20" xfId="0" applyFill="1" applyBorder="1" applyAlignment="1">
      <alignment horizontal="center"/>
    </xf>
    <xf numFmtId="165" fontId="0" fillId="10" borderId="20" xfId="0" applyNumberFormat="1" applyFill="1" applyBorder="1"/>
    <xf numFmtId="0" fontId="0" fillId="8" borderId="45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6" borderId="48" xfId="0" applyFill="1" applyBorder="1"/>
    <xf numFmtId="165" fontId="30" fillId="0" borderId="0" xfId="0" applyNumberFormat="1" applyFont="1" applyFill="1" applyBorder="1" applyAlignment="1">
      <alignment horizontal="center"/>
    </xf>
    <xf numFmtId="0" fontId="0" fillId="6" borderId="21" xfId="0" applyFill="1" applyBorder="1"/>
    <xf numFmtId="0" fontId="0" fillId="6" borderId="42" xfId="0" applyFill="1" applyBorder="1"/>
    <xf numFmtId="0" fontId="0" fillId="6" borderId="3" xfId="0" applyFill="1" applyBorder="1"/>
    <xf numFmtId="9" fontId="33" fillId="0" borderId="0" xfId="0" applyNumberFormat="1" applyFont="1"/>
    <xf numFmtId="0" fontId="0" fillId="19" borderId="31" xfId="0" applyFill="1" applyBorder="1"/>
    <xf numFmtId="0" fontId="0" fillId="19" borderId="51" xfId="0" applyFill="1" applyBorder="1"/>
    <xf numFmtId="0" fontId="0" fillId="19" borderId="44" xfId="0" applyFill="1" applyBorder="1"/>
    <xf numFmtId="0" fontId="26" fillId="0" borderId="0" xfId="0" applyFont="1"/>
    <xf numFmtId="0" fontId="16" fillId="6" borderId="22" xfId="0" applyFont="1" applyFill="1" applyBorder="1" applyAlignment="1">
      <alignment horizontal="right"/>
    </xf>
    <xf numFmtId="0" fontId="1" fillId="6" borderId="7" xfId="0" applyFont="1" applyFill="1" applyBorder="1"/>
    <xf numFmtId="0" fontId="1" fillId="6" borderId="25" xfId="0" applyFont="1" applyFill="1" applyBorder="1"/>
    <xf numFmtId="0" fontId="30" fillId="0" borderId="31" xfId="0" applyFont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9" fillId="0" borderId="0" xfId="0" applyFont="1" applyAlignment="1">
      <alignment horizontal="center"/>
    </xf>
    <xf numFmtId="9" fontId="62" fillId="0" borderId="5" xfId="0" applyNumberFormat="1" applyFont="1" applyBorder="1"/>
    <xf numFmtId="0" fontId="30" fillId="0" borderId="5" xfId="0" applyFont="1" applyFill="1" applyBorder="1"/>
    <xf numFmtId="0" fontId="0" fillId="0" borderId="43" xfId="0" applyBorder="1"/>
    <xf numFmtId="0" fontId="30" fillId="23" borderId="37" xfId="0" applyFont="1" applyFill="1" applyBorder="1" applyAlignment="1">
      <alignment horizontal="center"/>
    </xf>
    <xf numFmtId="165" fontId="30" fillId="23" borderId="3" xfId="0" applyNumberFormat="1" applyFont="1" applyFill="1" applyBorder="1" applyAlignment="1">
      <alignment horizontal="center"/>
    </xf>
    <xf numFmtId="0" fontId="30" fillId="23" borderId="3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3" fillId="0" borderId="0" xfId="0" applyFont="1"/>
    <xf numFmtId="165" fontId="65" fillId="6" borderId="19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165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5" fillId="6" borderId="19" xfId="0" applyFont="1" applyFill="1" applyBorder="1" applyAlignment="1">
      <alignment horizontal="center"/>
    </xf>
    <xf numFmtId="0" fontId="30" fillId="6" borderId="36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0" fillId="0" borderId="46" xfId="0" applyFont="1" applyFill="1" applyBorder="1"/>
    <xf numFmtId="9" fontId="62" fillId="0" borderId="46" xfId="0" applyNumberFormat="1" applyFont="1" applyBorder="1"/>
    <xf numFmtId="0" fontId="30" fillId="6" borderId="36" xfId="0" applyFont="1" applyFill="1" applyBorder="1" applyAlignment="1"/>
    <xf numFmtId="0" fontId="30" fillId="6" borderId="3" xfId="0" applyFont="1" applyFill="1" applyBorder="1" applyAlignment="1"/>
    <xf numFmtId="0" fontId="30" fillId="0" borderId="31" xfId="0" applyFont="1" applyBorder="1"/>
    <xf numFmtId="9" fontId="33" fillId="0" borderId="5" xfId="0" applyNumberFormat="1" applyFont="1" applyBorder="1"/>
    <xf numFmtId="0" fontId="30" fillId="0" borderId="31" xfId="0" applyFont="1" applyFill="1" applyBorder="1"/>
    <xf numFmtId="0" fontId="30" fillId="0" borderId="31" xfId="0" applyFont="1" applyFill="1" applyBorder="1" applyAlignment="1">
      <alignment horizontal="center"/>
    </xf>
    <xf numFmtId="0" fontId="65" fillId="0" borderId="31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65" fontId="30" fillId="2" borderId="0" xfId="0" applyNumberFormat="1" applyFont="1" applyFill="1" applyBorder="1" applyAlignment="1">
      <alignment horizontal="center"/>
    </xf>
    <xf numFmtId="0" fontId="65" fillId="6" borderId="36" xfId="0" applyFont="1" applyFill="1" applyBorder="1" applyAlignment="1">
      <alignment horizontal="center"/>
    </xf>
    <xf numFmtId="0" fontId="65" fillId="6" borderId="3" xfId="0" applyFont="1" applyFill="1" applyBorder="1" applyAlignment="1">
      <alignment horizontal="center"/>
    </xf>
    <xf numFmtId="0" fontId="30" fillId="0" borderId="0" xfId="0" applyFont="1" applyBorder="1"/>
    <xf numFmtId="0" fontId="0" fillId="8" borderId="2" xfId="0" applyFill="1" applyBorder="1" applyAlignment="1">
      <alignment horizontal="center"/>
    </xf>
    <xf numFmtId="0" fontId="0" fillId="10" borderId="1" xfId="0" applyFill="1" applyBorder="1"/>
    <xf numFmtId="0" fontId="0" fillId="8" borderId="72" xfId="0" applyFill="1" applyBorder="1"/>
    <xf numFmtId="0" fontId="0" fillId="8" borderId="39" xfId="0" applyFill="1" applyBorder="1"/>
    <xf numFmtId="0" fontId="0" fillId="10" borderId="20" xfId="0" applyFill="1" applyBorder="1"/>
    <xf numFmtId="0" fontId="1" fillId="2" borderId="0" xfId="0" applyFont="1" applyFill="1" applyBorder="1" applyAlignment="1">
      <alignment horizontal="right"/>
    </xf>
    <xf numFmtId="2" fontId="0" fillId="2" borderId="0" xfId="0" applyNumberFormat="1" applyFill="1" applyBorder="1"/>
    <xf numFmtId="0" fontId="0" fillId="20" borderId="4" xfId="0" applyFill="1" applyBorder="1"/>
    <xf numFmtId="0" fontId="0" fillId="20" borderId="15" xfId="0" applyFill="1" applyBorder="1"/>
    <xf numFmtId="2" fontId="0" fillId="20" borderId="8" xfId="0" applyNumberFormat="1" applyFill="1" applyBorder="1"/>
    <xf numFmtId="0" fontId="1" fillId="0" borderId="38" xfId="0" applyFont="1" applyBorder="1" applyAlignment="1">
      <alignment horizontal="right"/>
    </xf>
    <xf numFmtId="165" fontId="1" fillId="4" borderId="3" xfId="0" applyNumberFormat="1" applyFont="1" applyFill="1" applyBorder="1"/>
    <xf numFmtId="2" fontId="1" fillId="4" borderId="3" xfId="0" applyNumberFormat="1" applyFont="1" applyFill="1" applyBorder="1"/>
    <xf numFmtId="0" fontId="1" fillId="4" borderId="3" xfId="0" applyFont="1" applyFill="1" applyBorder="1" applyAlignment="1">
      <alignment horizontal="right"/>
    </xf>
    <xf numFmtId="0" fontId="0" fillId="25" borderId="44" xfId="0" applyFill="1" applyBorder="1"/>
    <xf numFmtId="0" fontId="0" fillId="25" borderId="51" xfId="0" applyFill="1" applyBorder="1"/>
    <xf numFmtId="0" fontId="0" fillId="26" borderId="7" xfId="0" applyFill="1" applyBorder="1"/>
    <xf numFmtId="0" fontId="1" fillId="26" borderId="8" xfId="0" applyFont="1" applyFill="1" applyBorder="1" applyAlignment="1">
      <alignment horizontal="right"/>
    </xf>
    <xf numFmtId="0" fontId="0" fillId="26" borderId="8" xfId="0" applyFill="1" applyBorder="1"/>
    <xf numFmtId="0" fontId="0" fillId="26" borderId="9" xfId="0" applyFill="1" applyBorder="1"/>
    <xf numFmtId="0" fontId="1" fillId="26" borderId="47" xfId="0" applyFont="1" applyFill="1" applyBorder="1" applyAlignment="1">
      <alignment horizontal="right"/>
    </xf>
    <xf numFmtId="0" fontId="1" fillId="26" borderId="5" xfId="0" applyFont="1" applyFill="1" applyBorder="1"/>
    <xf numFmtId="0" fontId="27" fillId="26" borderId="38" xfId="0" applyFont="1" applyFill="1" applyBorder="1"/>
    <xf numFmtId="165" fontId="0" fillId="4" borderId="5" xfId="0" applyNumberFormat="1" applyFill="1" applyBorder="1"/>
    <xf numFmtId="0" fontId="1" fillId="24" borderId="52" xfId="0" applyFont="1" applyFill="1" applyBorder="1"/>
    <xf numFmtId="0" fontId="16" fillId="24" borderId="53" xfId="0" applyFont="1" applyFill="1" applyBorder="1" applyAlignment="1">
      <alignment horizontal="center"/>
    </xf>
    <xf numFmtId="0" fontId="0" fillId="25" borderId="62" xfId="0" applyFill="1" applyBorder="1"/>
    <xf numFmtId="0" fontId="0" fillId="25" borderId="61" xfId="0" applyFill="1" applyBorder="1"/>
    <xf numFmtId="0" fontId="0" fillId="25" borderId="71" xfId="0" applyFill="1" applyBorder="1"/>
    <xf numFmtId="0" fontId="0" fillId="25" borderId="26" xfId="0" applyFill="1" applyBorder="1"/>
    <xf numFmtId="0" fontId="0" fillId="19" borderId="20" xfId="0" applyFill="1" applyBorder="1" applyAlignment="1">
      <alignment horizontal="center"/>
    </xf>
    <xf numFmtId="0" fontId="0" fillId="19" borderId="34" xfId="0" applyFill="1" applyBorder="1" applyAlignment="1">
      <alignment horizontal="center"/>
    </xf>
    <xf numFmtId="0" fontId="0" fillId="25" borderId="42" xfId="0" applyFill="1" applyBorder="1"/>
    <xf numFmtId="0" fontId="0" fillId="25" borderId="19" xfId="0" applyFill="1" applyBorder="1"/>
    <xf numFmtId="0" fontId="0" fillId="19" borderId="42" xfId="0" applyFill="1" applyBorder="1"/>
    <xf numFmtId="0" fontId="0" fillId="19" borderId="19" xfId="0" applyFill="1" applyBorder="1"/>
    <xf numFmtId="0" fontId="0" fillId="25" borderId="36" xfId="0" applyFill="1" applyBorder="1"/>
    <xf numFmtId="0" fontId="0" fillId="25" borderId="37" xfId="0" applyFill="1" applyBorder="1"/>
    <xf numFmtId="164" fontId="49" fillId="26" borderId="24" xfId="0" applyNumberFormat="1" applyFont="1" applyFill="1" applyBorder="1" applyAlignment="1">
      <alignment horizontal="right"/>
    </xf>
    <xf numFmtId="0" fontId="49" fillId="26" borderId="25" xfId="0" applyFont="1" applyFill="1" applyBorder="1"/>
    <xf numFmtId="0" fontId="60" fillId="2" borderId="0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165" fontId="0" fillId="4" borderId="0" xfId="0" applyNumberFormat="1" applyFill="1" applyBorder="1"/>
    <xf numFmtId="165" fontId="0" fillId="4" borderId="31" xfId="0" applyNumberFormat="1" applyFill="1" applyBorder="1"/>
    <xf numFmtId="0" fontId="0" fillId="4" borderId="24" xfId="0" applyFill="1" applyBorder="1" applyAlignment="1">
      <alignment horizontal="center"/>
    </xf>
    <xf numFmtId="0" fontId="1" fillId="4" borderId="17" xfId="0" applyFont="1" applyFill="1" applyBorder="1"/>
    <xf numFmtId="0" fontId="1" fillId="4" borderId="18" xfId="0" applyFont="1" applyFill="1" applyBorder="1"/>
    <xf numFmtId="0" fontId="54" fillId="0" borderId="0" xfId="1" applyFont="1" applyBorder="1" applyAlignment="1">
      <alignment horizontal="center" vertical="top"/>
    </xf>
    <xf numFmtId="0" fontId="54" fillId="0" borderId="0" xfId="1" applyFont="1" applyBorder="1" applyAlignment="1">
      <alignment vertical="top" wrapText="1"/>
    </xf>
    <xf numFmtId="0" fontId="53" fillId="13" borderId="23" xfId="1" applyFill="1" applyBorder="1"/>
    <xf numFmtId="0" fontId="54" fillId="13" borderId="1" xfId="1" applyFont="1" applyFill="1" applyBorder="1"/>
    <xf numFmtId="0" fontId="56" fillId="13" borderId="1" xfId="1" applyFont="1" applyFill="1" applyBorder="1"/>
    <xf numFmtId="0" fontId="54" fillId="13" borderId="16" xfId="1" applyFont="1" applyFill="1" applyBorder="1"/>
    <xf numFmtId="1" fontId="53" fillId="13" borderId="15" xfId="1" applyNumberFormat="1" applyFill="1" applyBorder="1"/>
    <xf numFmtId="1" fontId="53" fillId="13" borderId="6" xfId="1" applyNumberFormat="1" applyFill="1" applyBorder="1"/>
    <xf numFmtId="166" fontId="53" fillId="13" borderId="6" xfId="1" applyNumberFormat="1" applyFill="1" applyBorder="1"/>
    <xf numFmtId="1" fontId="53" fillId="13" borderId="18" xfId="1" applyNumberFormat="1" applyFill="1" applyBorder="1"/>
    <xf numFmtId="0" fontId="54" fillId="13" borderId="24" xfId="1" applyFont="1" applyFill="1" applyBorder="1" applyAlignment="1">
      <alignment horizontal="left"/>
    </xf>
    <xf numFmtId="0" fontId="54" fillId="13" borderId="30" xfId="1" applyFont="1" applyFill="1" applyBorder="1"/>
    <xf numFmtId="0" fontId="54" fillId="13" borderId="13" xfId="1" applyFont="1" applyFill="1" applyBorder="1"/>
    <xf numFmtId="0" fontId="53" fillId="13" borderId="18" xfId="1" applyFill="1" applyBorder="1" applyAlignment="1">
      <alignment horizontal="left"/>
    </xf>
    <xf numFmtId="1" fontId="53" fillId="13" borderId="25" xfId="1" applyNumberFormat="1" applyFill="1" applyBorder="1"/>
    <xf numFmtId="2" fontId="53" fillId="13" borderId="32" xfId="1" applyNumberFormat="1" applyFill="1" applyBorder="1"/>
    <xf numFmtId="2" fontId="53" fillId="13" borderId="6" xfId="1" applyNumberFormat="1" applyFill="1" applyBorder="1"/>
    <xf numFmtId="2" fontId="53" fillId="13" borderId="14" xfId="1" applyNumberFormat="1" applyFill="1" applyBorder="1"/>
    <xf numFmtId="0" fontId="53" fillId="13" borderId="9" xfId="1" applyFill="1" applyBorder="1"/>
    <xf numFmtId="0" fontId="53" fillId="13" borderId="25" xfId="1" applyFill="1" applyBorder="1"/>
    <xf numFmtId="0" fontId="0" fillId="0" borderId="38" xfId="0" applyBorder="1"/>
    <xf numFmtId="0" fontId="0" fillId="13" borderId="42" xfId="0" applyFill="1" applyBorder="1"/>
    <xf numFmtId="0" fontId="0" fillId="28" borderId="19" xfId="0" applyFill="1" applyBorder="1"/>
    <xf numFmtId="165" fontId="0" fillId="28" borderId="19" xfId="0" applyNumberFormat="1" applyFill="1" applyBorder="1"/>
    <xf numFmtId="0" fontId="22" fillId="28" borderId="19" xfId="0" applyFont="1" applyFill="1" applyBorder="1" applyAlignment="1">
      <alignment horizontal="center"/>
    </xf>
    <xf numFmtId="0" fontId="22" fillId="28" borderId="19" xfId="0" applyFont="1" applyFill="1" applyBorder="1"/>
    <xf numFmtId="0" fontId="0" fillId="28" borderId="19" xfId="0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165" fontId="1" fillId="27" borderId="19" xfId="0" applyNumberFormat="1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23" fillId="27" borderId="19" xfId="0" applyFont="1" applyFill="1" applyBorder="1" applyAlignment="1">
      <alignment horizontal="center"/>
    </xf>
    <xf numFmtId="165" fontId="19" fillId="26" borderId="24" xfId="0" applyNumberFormat="1" applyFont="1" applyFill="1" applyBorder="1"/>
    <xf numFmtId="0" fontId="19" fillId="26" borderId="23" xfId="0" applyFont="1" applyFill="1" applyBorder="1" applyAlignment="1">
      <alignment horizontal="right"/>
    </xf>
    <xf numFmtId="0" fontId="19" fillId="26" borderId="25" xfId="0" applyFont="1" applyFill="1" applyBorder="1"/>
    <xf numFmtId="0" fontId="0" fillId="0" borderId="0" xfId="0" applyBorder="1"/>
    <xf numFmtId="0" fontId="0" fillId="4" borderId="36" xfId="0" applyFill="1" applyBorder="1"/>
    <xf numFmtId="166" fontId="0" fillId="4" borderId="36" xfId="0" applyNumberFormat="1" applyFill="1" applyBorder="1"/>
    <xf numFmtId="0" fontId="1" fillId="4" borderId="19" xfId="0" applyFont="1" applyFill="1" applyBorder="1" applyAlignment="1">
      <alignment horizontal="center"/>
    </xf>
    <xf numFmtId="0" fontId="0" fillId="6" borderId="17" xfId="0" applyFill="1" applyBorder="1"/>
    <xf numFmtId="0" fontId="0" fillId="6" borderId="36" xfId="0" applyFont="1" applyFill="1" applyBorder="1"/>
    <xf numFmtId="0" fontId="0" fillId="0" borderId="7" xfId="0" applyFill="1" applyBorder="1"/>
    <xf numFmtId="0" fontId="0" fillId="0" borderId="9" xfId="0" applyFill="1" applyBorder="1"/>
    <xf numFmtId="0" fontId="0" fillId="29" borderId="3" xfId="0" applyFill="1" applyBorder="1"/>
    <xf numFmtId="0" fontId="0" fillId="2" borderId="38" xfId="0" applyFill="1" applyBorder="1"/>
    <xf numFmtId="0" fontId="0" fillId="4" borderId="31" xfId="0" applyFont="1" applyFill="1" applyBorder="1"/>
    <xf numFmtId="0" fontId="0" fillId="2" borderId="38" xfId="0" applyFont="1" applyFill="1" applyBorder="1"/>
    <xf numFmtId="0" fontId="0" fillId="4" borderId="5" xfId="0" applyFont="1" applyFill="1" applyBorder="1"/>
    <xf numFmtId="2" fontId="0" fillId="4" borderId="31" xfId="0" applyNumberFormat="1" applyFill="1" applyBorder="1"/>
    <xf numFmtId="0" fontId="0" fillId="4" borderId="5" xfId="0" applyFill="1" applyBorder="1" applyAlignment="1">
      <alignment horizontal="center"/>
    </xf>
    <xf numFmtId="0" fontId="0" fillId="4" borderId="31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1" fillId="29" borderId="25" xfId="0" applyFont="1" applyFill="1" applyBorder="1" applyAlignment="1">
      <alignment horizontal="right"/>
    </xf>
    <xf numFmtId="0" fontId="1" fillId="29" borderId="38" xfId="0" applyFont="1" applyFill="1" applyBorder="1" applyAlignment="1">
      <alignment horizontal="right"/>
    </xf>
    <xf numFmtId="0" fontId="1" fillId="29" borderId="38" xfId="0" applyFont="1" applyFill="1" applyBorder="1"/>
    <xf numFmtId="0" fontId="1" fillId="29" borderId="23" xfId="0" applyFont="1" applyFill="1" applyBorder="1"/>
    <xf numFmtId="0" fontId="17" fillId="30" borderId="38" xfId="0" applyFont="1" applyFill="1" applyBorder="1" applyAlignment="1">
      <alignment horizontal="right"/>
    </xf>
    <xf numFmtId="0" fontId="1" fillId="4" borderId="11" xfId="0" applyFont="1" applyFill="1" applyBorder="1"/>
    <xf numFmtId="0" fontId="0" fillId="4" borderId="12" xfId="0" applyFill="1" applyBorder="1"/>
    <xf numFmtId="0" fontId="1" fillId="4" borderId="5" xfId="0" applyFont="1" applyFill="1" applyBorder="1"/>
    <xf numFmtId="0" fontId="0" fillId="4" borderId="14" xfId="0" applyFill="1" applyBorder="1"/>
    <xf numFmtId="0" fontId="1" fillId="4" borderId="31" xfId="0" applyFont="1" applyFill="1" applyBorder="1"/>
    <xf numFmtId="0" fontId="1" fillId="4" borderId="8" xfId="0" applyFont="1" applyFill="1" applyBorder="1"/>
    <xf numFmtId="0" fontId="30" fillId="4" borderId="9" xfId="0" applyFont="1" applyFill="1" applyBorder="1"/>
    <xf numFmtId="0" fontId="45" fillId="4" borderId="23" xfId="0" applyFont="1" applyFill="1" applyBorder="1" applyAlignment="1">
      <alignment horizontal="right"/>
    </xf>
    <xf numFmtId="0" fontId="43" fillId="4" borderId="24" xfId="0" applyFont="1" applyFill="1" applyBorder="1"/>
    <xf numFmtId="0" fontId="46" fillId="4" borderId="25" xfId="0" applyFont="1" applyFill="1" applyBorder="1"/>
    <xf numFmtId="0" fontId="20" fillId="4" borderId="23" xfId="0" applyFont="1" applyFill="1" applyBorder="1" applyAlignment="1">
      <alignment horizontal="right"/>
    </xf>
    <xf numFmtId="0" fontId="0" fillId="4" borderId="24" xfId="0" applyFill="1" applyBorder="1"/>
    <xf numFmtId="0" fontId="0" fillId="4" borderId="25" xfId="0" applyFill="1" applyBorder="1"/>
    <xf numFmtId="0" fontId="33" fillId="4" borderId="10" xfId="0" applyFont="1" applyFill="1" applyBorder="1" applyAlignment="1">
      <alignment horizontal="right"/>
    </xf>
    <xf numFmtId="0" fontId="33" fillId="4" borderId="13" xfId="0" applyFont="1" applyFill="1" applyBorder="1" applyAlignment="1">
      <alignment horizontal="right"/>
    </xf>
    <xf numFmtId="0" fontId="33" fillId="4" borderId="30" xfId="0" applyFont="1" applyFill="1" applyBorder="1" applyAlignment="1">
      <alignment horizontal="right"/>
    </xf>
    <xf numFmtId="0" fontId="33" fillId="4" borderId="7" xfId="0" applyFont="1" applyFill="1" applyBorder="1" applyAlignment="1">
      <alignment horizontal="right"/>
    </xf>
    <xf numFmtId="0" fontId="0" fillId="29" borderId="37" xfId="0" applyFill="1" applyBorder="1"/>
    <xf numFmtId="165" fontId="0" fillId="29" borderId="5" xfId="0" applyNumberFormat="1" applyFill="1" applyBorder="1"/>
    <xf numFmtId="0" fontId="0" fillId="29" borderId="45" xfId="0" applyFill="1" applyBorder="1"/>
    <xf numFmtId="0" fontId="0" fillId="29" borderId="19" xfId="0" applyFill="1" applyBorder="1"/>
    <xf numFmtId="0" fontId="43" fillId="29" borderId="23" xfId="0" applyFont="1" applyFill="1" applyBorder="1"/>
    <xf numFmtId="0" fontId="43" fillId="29" borderId="25" xfId="0" applyFont="1" applyFill="1" applyBorder="1"/>
    <xf numFmtId="0" fontId="0" fillId="29" borderId="23" xfId="0" applyFill="1" applyBorder="1"/>
    <xf numFmtId="0" fontId="0" fillId="29" borderId="25" xfId="0" applyFill="1" applyBorder="1"/>
    <xf numFmtId="0" fontId="20" fillId="0" borderId="38" xfId="0" applyFont="1" applyBorder="1" applyAlignment="1">
      <alignment horizontal="center"/>
    </xf>
    <xf numFmtId="0" fontId="59" fillId="2" borderId="38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5" borderId="31" xfId="0" applyFill="1" applyBorder="1"/>
    <xf numFmtId="0" fontId="0" fillId="25" borderId="3" xfId="0" applyFill="1" applyBorder="1"/>
    <xf numFmtId="0" fontId="0" fillId="2" borderId="40" xfId="0" applyFill="1" applyBorder="1"/>
    <xf numFmtId="0" fontId="0" fillId="2" borderId="48" xfId="0" applyFill="1" applyBorder="1"/>
    <xf numFmtId="165" fontId="0" fillId="0" borderId="0" xfId="0" applyNumberFormat="1" applyFont="1" applyFill="1" applyBorder="1"/>
    <xf numFmtId="1" fontId="54" fillId="0" borderId="0" xfId="1" applyNumberFormat="1" applyFont="1" applyFill="1" applyBorder="1" applyAlignment="1">
      <alignment horizontal="right"/>
    </xf>
    <xf numFmtId="0" fontId="48" fillId="0" borderId="0" xfId="0" applyFont="1" applyFill="1" applyBorder="1" applyAlignment="1"/>
    <xf numFmtId="0" fontId="20" fillId="0" borderId="5" xfId="0" applyFont="1" applyBorder="1" applyAlignment="1"/>
    <xf numFmtId="0" fontId="30" fillId="0" borderId="5" xfId="0" applyFont="1" applyBorder="1"/>
    <xf numFmtId="0" fontId="19" fillId="32" borderId="38" xfId="0" applyFont="1" applyFill="1" applyBorder="1" applyAlignment="1">
      <alignment horizontal="center"/>
    </xf>
    <xf numFmtId="165" fontId="30" fillId="18" borderId="44" xfId="0" applyNumberFormat="1" applyFont="1" applyFill="1" applyBorder="1"/>
    <xf numFmtId="0" fontId="30" fillId="18" borderId="19" xfId="0" applyFont="1" applyFill="1" applyBorder="1"/>
    <xf numFmtId="165" fontId="30" fillId="18" borderId="19" xfId="0" applyNumberFormat="1" applyFont="1" applyFill="1" applyBorder="1"/>
    <xf numFmtId="0" fontId="0" fillId="19" borderId="0" xfId="0" applyFill="1"/>
    <xf numFmtId="2" fontId="0" fillId="19" borderId="19" xfId="0" applyNumberFormat="1" applyFill="1" applyBorder="1"/>
    <xf numFmtId="2" fontId="0" fillId="19" borderId="37" xfId="0" applyNumberFormat="1" applyFill="1" applyBorder="1"/>
    <xf numFmtId="165" fontId="0" fillId="19" borderId="19" xfId="0" applyNumberFormat="1" applyFill="1" applyBorder="1"/>
    <xf numFmtId="0" fontId="48" fillId="14" borderId="19" xfId="0" applyFont="1" applyFill="1" applyBorder="1" applyAlignment="1">
      <alignment horizontal="center"/>
    </xf>
    <xf numFmtId="0" fontId="19" fillId="32" borderId="57" xfId="0" applyFont="1" applyFill="1" applyBorder="1" applyAlignment="1">
      <alignment horizontal="center"/>
    </xf>
    <xf numFmtId="0" fontId="0" fillId="19" borderId="19" xfId="0" applyFont="1" applyFill="1" applyBorder="1"/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4" borderId="4" xfId="0" applyFont="1" applyFill="1" applyBorder="1"/>
    <xf numFmtId="0" fontId="0" fillId="4" borderId="15" xfId="0" applyFont="1" applyFill="1" applyBorder="1"/>
    <xf numFmtId="0" fontId="0" fillId="4" borderId="17" xfId="0" applyFont="1" applyFill="1" applyBorder="1"/>
    <xf numFmtId="0" fontId="0" fillId="4" borderId="18" xfId="0" applyFont="1" applyFill="1" applyBorder="1"/>
    <xf numFmtId="0" fontId="13" fillId="4" borderId="38" xfId="0" applyFont="1" applyFill="1" applyBorder="1" applyAlignment="1">
      <alignment horizontal="center"/>
    </xf>
    <xf numFmtId="0" fontId="0" fillId="4" borderId="7" xfId="0" applyFill="1" applyBorder="1"/>
    <xf numFmtId="0" fontId="70" fillId="4" borderId="8" xfId="0" applyFont="1" applyFill="1" applyBorder="1" applyAlignment="1">
      <alignment horizontal="right"/>
    </xf>
    <xf numFmtId="0" fontId="30" fillId="4" borderId="8" xfId="0" applyFont="1" applyFill="1" applyBorder="1" applyAlignment="1">
      <alignment horizontal="right"/>
    </xf>
    <xf numFmtId="0" fontId="0" fillId="4" borderId="60" xfId="0" applyFill="1" applyBorder="1" applyAlignment="1">
      <alignment horizontal="center" wrapText="1"/>
    </xf>
    <xf numFmtId="0" fontId="0" fillId="4" borderId="74" xfId="0" applyFill="1" applyBorder="1" applyAlignment="1">
      <alignment horizontal="center" wrapText="1"/>
    </xf>
    <xf numFmtId="0" fontId="22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57" xfId="0" applyBorder="1"/>
    <xf numFmtId="0" fontId="0" fillId="0" borderId="68" xfId="0" applyBorder="1"/>
    <xf numFmtId="0" fontId="0" fillId="0" borderId="38" xfId="0" applyBorder="1" applyAlignment="1">
      <alignment horizontal="center"/>
    </xf>
    <xf numFmtId="165" fontId="60" fillId="6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57" xfId="0" applyFont="1" applyFill="1" applyBorder="1"/>
    <xf numFmtId="0" fontId="0" fillId="4" borderId="32" xfId="0" applyFont="1" applyFill="1" applyBorder="1"/>
    <xf numFmtId="0" fontId="8" fillId="4" borderId="30" xfId="0" applyFont="1" applyFill="1" applyBorder="1" applyAlignment="1">
      <alignment horizontal="right"/>
    </xf>
    <xf numFmtId="0" fontId="0" fillId="4" borderId="4" xfId="0" applyFill="1" applyBorder="1"/>
    <xf numFmtId="0" fontId="0" fillId="4" borderId="15" xfId="0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164" fontId="0" fillId="0" borderId="0" xfId="0" applyNumberFormat="1" applyFill="1" applyBorder="1"/>
    <xf numFmtId="166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2" fontId="0" fillId="0" borderId="0" xfId="0" applyNumberFormat="1" applyFill="1" applyBorder="1"/>
    <xf numFmtId="2" fontId="12" fillId="0" borderId="0" xfId="0" applyNumberFormat="1" applyFont="1" applyFill="1" applyBorder="1"/>
    <xf numFmtId="0" fontId="0" fillId="0" borderId="38" xfId="0" applyFill="1" applyBorder="1"/>
    <xf numFmtId="0" fontId="14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0" fillId="29" borderId="0" xfId="0" applyFill="1" applyBorder="1"/>
    <xf numFmtId="0" fontId="0" fillId="29" borderId="43" xfId="0" applyFill="1" applyBorder="1"/>
    <xf numFmtId="0" fontId="41" fillId="20" borderId="1" xfId="0" applyFont="1" applyFill="1" applyBorder="1" applyAlignment="1">
      <alignment horizontal="right"/>
    </xf>
    <xf numFmtId="0" fontId="0" fillId="20" borderId="37" xfId="0" applyFill="1" applyBorder="1"/>
    <xf numFmtId="0" fontId="41" fillId="20" borderId="16" xfId="0" applyFont="1" applyFill="1" applyBorder="1" applyAlignment="1">
      <alignment horizontal="right"/>
    </xf>
    <xf numFmtId="0" fontId="0" fillId="20" borderId="17" xfId="0" applyFill="1" applyBorder="1"/>
    <xf numFmtId="0" fontId="0" fillId="20" borderId="41" xfId="0" applyFill="1" applyBorder="1"/>
    <xf numFmtId="0" fontId="71" fillId="0" borderId="33" xfId="0" applyFont="1" applyFill="1" applyBorder="1" applyAlignment="1"/>
    <xf numFmtId="0" fontId="71" fillId="0" borderId="33" xfId="0" applyFont="1" applyBorder="1" applyAlignment="1"/>
    <xf numFmtId="0" fontId="33" fillId="29" borderId="1" xfId="0" applyFont="1" applyFill="1" applyBorder="1" applyAlignment="1">
      <alignment horizontal="right"/>
    </xf>
    <xf numFmtId="0" fontId="41" fillId="29" borderId="1" xfId="0" applyFont="1" applyFill="1" applyBorder="1" applyAlignment="1">
      <alignment horizontal="right"/>
    </xf>
    <xf numFmtId="0" fontId="33" fillId="29" borderId="13" xfId="0" applyFont="1" applyFill="1" applyBorder="1" applyAlignment="1">
      <alignment horizontal="right"/>
    </xf>
    <xf numFmtId="0" fontId="1" fillId="29" borderId="1" xfId="0" applyFont="1" applyFill="1" applyBorder="1" applyAlignment="1">
      <alignment horizontal="right"/>
    </xf>
    <xf numFmtId="0" fontId="1" fillId="29" borderId="33" xfId="0" applyFont="1" applyFill="1" applyBorder="1" applyAlignment="1">
      <alignment horizontal="right"/>
    </xf>
    <xf numFmtId="0" fontId="0" fillId="29" borderId="30" xfId="0" applyFill="1" applyBorder="1" applyAlignment="1">
      <alignment horizontal="right"/>
    </xf>
    <xf numFmtId="0" fontId="0" fillId="19" borderId="46" xfId="0" applyFill="1" applyBorder="1"/>
    <xf numFmtId="0" fontId="0" fillId="19" borderId="0" xfId="0" applyFill="1" applyBorder="1"/>
    <xf numFmtId="0" fontId="0" fillId="19" borderId="43" xfId="0" applyFill="1" applyBorder="1"/>
    <xf numFmtId="0" fontId="0" fillId="19" borderId="51" xfId="0" applyFill="1" applyBorder="1" applyAlignment="1">
      <alignment horizontal="right"/>
    </xf>
    <xf numFmtId="0" fontId="0" fillId="19" borderId="47" xfId="0" applyFill="1" applyBorder="1" applyAlignment="1">
      <alignment horizontal="right"/>
    </xf>
    <xf numFmtId="0" fontId="27" fillId="19" borderId="46" xfId="0" applyFont="1" applyFill="1" applyBorder="1"/>
    <xf numFmtId="0" fontId="48" fillId="25" borderId="38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2" fontId="22" fillId="19" borderId="19" xfId="1" applyNumberFormat="1" applyFont="1" applyFill="1" applyBorder="1" applyAlignment="1">
      <alignment horizontal="right"/>
    </xf>
    <xf numFmtId="0" fontId="0" fillId="19" borderId="19" xfId="0" applyFon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33" fillId="26" borderId="23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77" fillId="20" borderId="72" xfId="0" applyFont="1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0" fontId="60" fillId="20" borderId="15" xfId="0" applyFont="1" applyFill="1" applyBorder="1" applyAlignment="1">
      <alignment horizontal="center"/>
    </xf>
    <xf numFmtId="0" fontId="60" fillId="20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2" fillId="25" borderId="2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0" fillId="2" borderId="58" xfId="0" applyFont="1" applyFill="1" applyBorder="1"/>
    <xf numFmtId="0" fontId="0" fillId="2" borderId="57" xfId="0" applyFill="1" applyBorder="1"/>
    <xf numFmtId="165" fontId="0" fillId="4" borderId="24" xfId="0" applyNumberFormat="1" applyFill="1" applyBorder="1"/>
    <xf numFmtId="165" fontId="0" fillId="20" borderId="3" xfId="0" applyNumberFormat="1" applyFill="1" applyBorder="1"/>
    <xf numFmtId="165" fontId="0" fillId="20" borderId="17" xfId="0" applyNumberFormat="1" applyFill="1" applyBorder="1"/>
    <xf numFmtId="165" fontId="43" fillId="29" borderId="24" xfId="0" applyNumberFormat="1" applyFont="1" applyFill="1" applyBorder="1"/>
    <xf numFmtId="164" fontId="0" fillId="29" borderId="3" xfId="0" applyNumberFormat="1" applyFill="1" applyBorder="1"/>
    <xf numFmtId="164" fontId="0" fillId="29" borderId="44" xfId="0" applyNumberFormat="1" applyFill="1" applyBorder="1"/>
    <xf numFmtId="165" fontId="0" fillId="19" borderId="20" xfId="0" applyNumberFormat="1" applyFill="1" applyBorder="1" applyAlignment="1">
      <alignment horizontal="center"/>
    </xf>
    <xf numFmtId="165" fontId="0" fillId="19" borderId="49" xfId="0" applyNumberFormat="1" applyFill="1" applyBorder="1" applyAlignment="1">
      <alignment horizontal="center"/>
    </xf>
    <xf numFmtId="165" fontId="0" fillId="19" borderId="29" xfId="0" applyNumberFormat="1" applyFill="1" applyBorder="1" applyAlignment="1">
      <alignment horizontal="center"/>
    </xf>
    <xf numFmtId="0" fontId="0" fillId="4" borderId="4" xfId="0" applyFill="1" applyBorder="1" applyAlignment="1"/>
    <xf numFmtId="0" fontId="0" fillId="4" borderId="15" xfId="0" applyFill="1" applyBorder="1" applyAlignment="1"/>
    <xf numFmtId="0" fontId="1" fillId="4" borderId="27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49" fillId="26" borderId="24" xfId="0" applyFont="1" applyFill="1" applyBorder="1"/>
    <xf numFmtId="0" fontId="27" fillId="4" borderId="25" xfId="0" applyFont="1" applyFill="1" applyBorder="1"/>
    <xf numFmtId="0" fontId="27" fillId="20" borderId="20" xfId="0" applyFont="1" applyFill="1" applyBorder="1"/>
    <xf numFmtId="0" fontId="27" fillId="20" borderId="29" xfId="0" applyFont="1" applyFill="1" applyBorder="1"/>
    <xf numFmtId="0" fontId="52" fillId="0" borderId="0" xfId="0" applyFont="1" applyFill="1" applyBorder="1"/>
    <xf numFmtId="168" fontId="0" fillId="4" borderId="3" xfId="0" applyNumberFormat="1" applyFill="1" applyBorder="1"/>
    <xf numFmtId="0" fontId="0" fillId="4" borderId="30" xfId="0" applyFill="1" applyBorder="1" applyAlignment="1">
      <alignment horizontal="right"/>
    </xf>
    <xf numFmtId="0" fontId="52" fillId="2" borderId="0" xfId="0" applyFont="1" applyFill="1" applyBorder="1" applyAlignment="1">
      <alignment vertical="center"/>
    </xf>
    <xf numFmtId="0" fontId="1" fillId="4" borderId="51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2" borderId="58" xfId="0" applyFill="1" applyBorder="1"/>
    <xf numFmtId="0" fontId="0" fillId="4" borderId="5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48" xfId="0" applyFill="1" applyBorder="1" applyAlignment="1">
      <alignment horizontal="center" vertical="center"/>
    </xf>
    <xf numFmtId="0" fontId="0" fillId="29" borderId="25" xfId="0" applyFont="1" applyFill="1" applyBorder="1" applyAlignment="1">
      <alignment horizontal="right"/>
    </xf>
    <xf numFmtId="165" fontId="1" fillId="4" borderId="3" xfId="0" applyNumberFormat="1" applyFont="1" applyFill="1" applyBorder="1" applyAlignment="1">
      <alignment horizontal="right"/>
    </xf>
    <xf numFmtId="165" fontId="20" fillId="19" borderId="37" xfId="0" applyNumberFormat="1" applyFont="1" applyFill="1" applyBorder="1"/>
    <xf numFmtId="165" fontId="20" fillId="26" borderId="37" xfId="0" applyNumberFormat="1" applyFont="1" applyFill="1" applyBorder="1"/>
    <xf numFmtId="165" fontId="20" fillId="26" borderId="19" xfId="0" applyNumberFormat="1" applyFont="1" applyFill="1" applyBorder="1"/>
    <xf numFmtId="0" fontId="0" fillId="26" borderId="39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20" fillId="19" borderId="37" xfId="0" applyFont="1" applyFill="1" applyBorder="1"/>
    <xf numFmtId="165" fontId="0" fillId="29" borderId="19" xfId="0" applyNumberFormat="1" applyFill="1" applyBorder="1"/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29" borderId="19" xfId="0" applyFill="1" applyBorder="1" applyAlignment="1">
      <alignment horizontal="right"/>
    </xf>
    <xf numFmtId="0" fontId="0" fillId="19" borderId="72" xfId="0" applyFill="1" applyBorder="1"/>
    <xf numFmtId="0" fontId="0" fillId="19" borderId="27" xfId="0" applyFill="1" applyBorder="1"/>
    <xf numFmtId="165" fontId="27" fillId="4" borderId="73" xfId="0" applyNumberFormat="1" applyFont="1" applyFill="1" applyBorder="1"/>
    <xf numFmtId="165" fontId="0" fillId="29" borderId="20" xfId="0" applyNumberFormat="1" applyFill="1" applyBorder="1"/>
    <xf numFmtId="164" fontId="0" fillId="29" borderId="19" xfId="0" applyNumberFormat="1" applyFill="1" applyBorder="1"/>
    <xf numFmtId="0" fontId="0" fillId="29" borderId="64" xfId="0" applyFill="1" applyBorder="1"/>
    <xf numFmtId="165" fontId="0" fillId="29" borderId="1" xfId="0" applyNumberFormat="1" applyFill="1" applyBorder="1"/>
    <xf numFmtId="0" fontId="0" fillId="29" borderId="20" xfId="0" applyFill="1" applyBorder="1"/>
    <xf numFmtId="0" fontId="0" fillId="29" borderId="66" xfId="0" applyFill="1" applyBorder="1"/>
    <xf numFmtId="165" fontId="0" fillId="29" borderId="16" xfId="0" applyNumberFormat="1" applyFill="1" applyBorder="1"/>
    <xf numFmtId="2" fontId="0" fillId="29" borderId="27" xfId="0" applyNumberFormat="1" applyFill="1" applyBorder="1"/>
    <xf numFmtId="0" fontId="0" fillId="29" borderId="29" xfId="0" applyFill="1" applyBorder="1"/>
    <xf numFmtId="165" fontId="0" fillId="29" borderId="29" xfId="0" applyNumberFormat="1" applyFill="1" applyBorder="1"/>
    <xf numFmtId="0" fontId="0" fillId="33" borderId="19" xfId="0" applyFill="1" applyBorder="1" applyAlignment="1">
      <alignment horizontal="center"/>
    </xf>
    <xf numFmtId="0" fontId="1" fillId="19" borderId="36" xfId="0" applyFont="1" applyFill="1" applyBorder="1" applyAlignment="1">
      <alignment horizontal="right"/>
    </xf>
    <xf numFmtId="0" fontId="1" fillId="19" borderId="3" xfId="0" applyFont="1" applyFill="1" applyBorder="1"/>
    <xf numFmtId="0" fontId="1" fillId="19" borderId="37" xfId="0" applyFont="1" applyFill="1" applyBorder="1"/>
    <xf numFmtId="0" fontId="1" fillId="19" borderId="23" xfId="0" applyFont="1" applyFill="1" applyBorder="1"/>
    <xf numFmtId="165" fontId="52" fillId="19" borderId="25" xfId="0" applyNumberFormat="1" applyFont="1" applyFill="1" applyBorder="1" applyAlignment="1">
      <alignment horizontal="center"/>
    </xf>
    <xf numFmtId="165" fontId="0" fillId="19" borderId="44" xfId="0" applyNumberFormat="1" applyFill="1" applyBorder="1" applyAlignment="1">
      <alignment horizontal="center"/>
    </xf>
    <xf numFmtId="165" fontId="0" fillId="19" borderId="37" xfId="0" applyNumberFormat="1" applyFill="1" applyBorder="1" applyAlignment="1">
      <alignment horizontal="center"/>
    </xf>
    <xf numFmtId="0" fontId="0" fillId="19" borderId="1" xfId="0" applyFill="1" applyBorder="1"/>
    <xf numFmtId="0" fontId="0" fillId="19" borderId="19" xfId="0" applyFont="1" applyFill="1" applyBorder="1" applyAlignment="1">
      <alignment horizontal="center"/>
    </xf>
    <xf numFmtId="0" fontId="0" fillId="19" borderId="33" xfId="0" applyFill="1" applyBorder="1" applyAlignment="1">
      <alignment horizontal="right"/>
    </xf>
    <xf numFmtId="0" fontId="0" fillId="19" borderId="46" xfId="0" applyFill="1" applyBorder="1" applyAlignment="1">
      <alignment horizontal="right"/>
    </xf>
    <xf numFmtId="0" fontId="0" fillId="19" borderId="43" xfId="0" applyFill="1" applyBorder="1" applyAlignment="1">
      <alignment horizontal="left"/>
    </xf>
    <xf numFmtId="0" fontId="60" fillId="19" borderId="34" xfId="0" applyFont="1" applyFill="1" applyBorder="1"/>
    <xf numFmtId="0" fontId="0" fillId="19" borderId="16" xfId="0" applyFill="1" applyBorder="1" applyAlignment="1">
      <alignment horizontal="right"/>
    </xf>
    <xf numFmtId="0" fontId="0" fillId="19" borderId="41" xfId="0" applyFill="1" applyBorder="1" applyAlignment="1">
      <alignment horizontal="left"/>
    </xf>
    <xf numFmtId="0" fontId="0" fillId="19" borderId="28" xfId="0" applyFill="1" applyBorder="1" applyAlignment="1">
      <alignment horizontal="right"/>
    </xf>
    <xf numFmtId="0" fontId="60" fillId="19" borderId="29" xfId="0" applyFont="1" applyFill="1" applyBorder="1"/>
    <xf numFmtId="0" fontId="0" fillId="19" borderId="33" xfId="0" applyFill="1" applyBorder="1"/>
    <xf numFmtId="0" fontId="0" fillId="19" borderId="34" xfId="0" applyFill="1" applyBorder="1"/>
    <xf numFmtId="0" fontId="0" fillId="19" borderId="6" xfId="0" applyFill="1" applyBorder="1"/>
    <xf numFmtId="0" fontId="23" fillId="19" borderId="37" xfId="0" applyFont="1" applyFill="1" applyBorder="1" applyAlignment="1"/>
    <xf numFmtId="0" fontId="60" fillId="19" borderId="6" xfId="0" applyFont="1" applyFill="1" applyBorder="1" applyAlignment="1">
      <alignment horizontal="center"/>
    </xf>
    <xf numFmtId="0" fontId="1" fillId="19" borderId="41" xfId="0" applyFont="1" applyFill="1" applyBorder="1" applyAlignment="1"/>
    <xf numFmtId="0" fontId="60" fillId="19" borderId="18" xfId="0" applyFont="1" applyFill="1" applyBorder="1" applyAlignment="1">
      <alignment horizontal="center"/>
    </xf>
    <xf numFmtId="2" fontId="0" fillId="19" borderId="41" xfId="0" applyNumberFormat="1" applyFill="1" applyBorder="1" applyAlignment="1">
      <alignment horizontal="left"/>
    </xf>
    <xf numFmtId="0" fontId="60" fillId="19" borderId="9" xfId="0" applyFont="1" applyFill="1" applyBorder="1"/>
    <xf numFmtId="0" fontId="0" fillId="19" borderId="41" xfId="0" applyFill="1" applyBorder="1"/>
    <xf numFmtId="164" fontId="0" fillId="19" borderId="41" xfId="0" applyNumberFormat="1" applyFill="1" applyBorder="1" applyAlignment="1">
      <alignment horizontal="left"/>
    </xf>
    <xf numFmtId="0" fontId="60" fillId="19" borderId="29" xfId="0" applyFont="1" applyFill="1" applyBorder="1" applyAlignment="1">
      <alignment horizontal="center"/>
    </xf>
    <xf numFmtId="0" fontId="77" fillId="19" borderId="72" xfId="0" applyFont="1" applyFill="1" applyBorder="1" applyAlignment="1">
      <alignment horizontal="right"/>
    </xf>
    <xf numFmtId="0" fontId="0" fillId="19" borderId="4" xfId="0" applyFill="1" applyBorder="1" applyAlignment="1">
      <alignment horizontal="right"/>
    </xf>
    <xf numFmtId="0" fontId="0" fillId="19" borderId="4" xfId="0" applyFill="1" applyBorder="1"/>
    <xf numFmtId="0" fontId="60" fillId="19" borderId="15" xfId="0" applyFont="1" applyFill="1" applyBorder="1" applyAlignment="1">
      <alignment horizontal="center"/>
    </xf>
    <xf numFmtId="0" fontId="0" fillId="19" borderId="27" xfId="0" applyFill="1" applyBorder="1" applyAlignment="1">
      <alignment horizontal="right"/>
    </xf>
    <xf numFmtId="0" fontId="0" fillId="19" borderId="17" xfId="0" applyFill="1" applyBorder="1"/>
    <xf numFmtId="0" fontId="48" fillId="2" borderId="0" xfId="0" applyFont="1" applyFill="1" applyBorder="1" applyAlignment="1"/>
    <xf numFmtId="0" fontId="1" fillId="10" borderId="23" xfId="0" applyFont="1" applyFill="1" applyBorder="1"/>
    <xf numFmtId="165" fontId="52" fillId="10" borderId="25" xfId="0" applyNumberFormat="1" applyFont="1" applyFill="1" applyBorder="1" applyAlignment="1">
      <alignment horizontal="center"/>
    </xf>
    <xf numFmtId="0" fontId="0" fillId="10" borderId="51" xfId="0" applyFill="1" applyBorder="1"/>
    <xf numFmtId="165" fontId="0" fillId="10" borderId="44" xfId="0" applyNumberFormat="1" applyFill="1" applyBorder="1" applyAlignment="1">
      <alignment horizontal="center"/>
    </xf>
    <xf numFmtId="0" fontId="0" fillId="10" borderId="36" xfId="0" applyFill="1" applyBorder="1"/>
    <xf numFmtId="165" fontId="0" fillId="10" borderId="37" xfId="0" applyNumberForma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16" fillId="19" borderId="10" xfId="0" applyFont="1" applyFill="1" applyBorder="1" applyAlignment="1">
      <alignment horizontal="center"/>
    </xf>
    <xf numFmtId="0" fontId="16" fillId="19" borderId="11" xfId="0" applyFont="1" applyFill="1" applyBorder="1" applyAlignment="1">
      <alignment horizontal="center"/>
    </xf>
    <xf numFmtId="0" fontId="16" fillId="19" borderId="12" xfId="0" applyFont="1" applyFill="1" applyBorder="1" applyAlignment="1">
      <alignment horizontal="center"/>
    </xf>
    <xf numFmtId="0" fontId="60" fillId="19" borderId="16" xfId="0" applyFont="1" applyFill="1" applyBorder="1" applyAlignment="1">
      <alignment horizontal="center"/>
    </xf>
    <xf numFmtId="0" fontId="60" fillId="19" borderId="17" xfId="0" applyFont="1" applyFill="1" applyBorder="1" applyAlignment="1">
      <alignment horizontal="center"/>
    </xf>
    <xf numFmtId="0" fontId="60" fillId="19" borderId="18" xfId="0" applyFont="1" applyFill="1" applyBorder="1" applyAlignment="1">
      <alignment horizontal="center"/>
    </xf>
    <xf numFmtId="0" fontId="0" fillId="19" borderId="59" xfId="0" applyFill="1" applyBorder="1" applyAlignment="1">
      <alignment horizontal="center" vertical="center"/>
    </xf>
    <xf numFmtId="0" fontId="0" fillId="19" borderId="78" xfId="0" applyFill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  <xf numFmtId="0" fontId="60" fillId="19" borderId="1" xfId="0" applyFont="1" applyFill="1" applyBorder="1" applyAlignment="1">
      <alignment horizontal="center"/>
    </xf>
    <xf numFmtId="0" fontId="60" fillId="19" borderId="3" xfId="0" applyFont="1" applyFill="1" applyBorder="1" applyAlignment="1">
      <alignment horizontal="center"/>
    </xf>
    <xf numFmtId="0" fontId="60" fillId="19" borderId="6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52" fillId="4" borderId="22" xfId="0" applyFont="1" applyFill="1" applyBorder="1" applyAlignment="1">
      <alignment horizontal="center" vertical="center"/>
    </xf>
    <xf numFmtId="0" fontId="52" fillId="4" borderId="49" xfId="0" applyFont="1" applyFill="1" applyBorder="1" applyAlignment="1">
      <alignment horizontal="center" vertical="center"/>
    </xf>
    <xf numFmtId="0" fontId="52" fillId="4" borderId="28" xfId="0" applyFont="1" applyFill="1" applyBorder="1" applyAlignment="1">
      <alignment horizontal="center"/>
    </xf>
    <xf numFmtId="0" fontId="52" fillId="4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right"/>
    </xf>
    <xf numFmtId="0" fontId="16" fillId="6" borderId="14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37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45" xfId="0" applyFill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67" fillId="31" borderId="23" xfId="0" applyFont="1" applyFill="1" applyBorder="1" applyAlignment="1">
      <alignment horizontal="center" vertical="center"/>
    </xf>
    <xf numFmtId="0" fontId="67" fillId="31" borderId="2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0" fillId="20" borderId="59" xfId="0" applyFill="1" applyBorder="1" applyAlignment="1">
      <alignment horizontal="center" vertical="center"/>
    </xf>
    <xf numFmtId="0" fontId="0" fillId="20" borderId="78" xfId="0" applyFill="1" applyBorder="1" applyAlignment="1">
      <alignment horizontal="center" vertical="center"/>
    </xf>
    <xf numFmtId="0" fontId="0" fillId="20" borderId="2" xfId="0" applyFill="1" applyBorder="1" applyAlignment="1">
      <alignment horizontal="right"/>
    </xf>
    <xf numFmtId="0" fontId="0" fillId="20" borderId="4" xfId="0" applyFill="1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20" borderId="17" xfId="0" applyFill="1" applyBorder="1" applyAlignment="1">
      <alignment horizontal="right"/>
    </xf>
    <xf numFmtId="0" fontId="60" fillId="20" borderId="57" xfId="0" applyFont="1" applyFill="1" applyBorder="1" applyAlignment="1">
      <alignment horizontal="center" vertical="center"/>
    </xf>
    <xf numFmtId="0" fontId="60" fillId="20" borderId="5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1" fontId="0" fillId="4" borderId="47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27" fillId="22" borderId="23" xfId="0" applyFont="1" applyFill="1" applyBorder="1" applyAlignment="1">
      <alignment horizontal="center"/>
    </xf>
    <xf numFmtId="0" fontId="27" fillId="22" borderId="24" xfId="0" applyFont="1" applyFill="1" applyBorder="1" applyAlignment="1">
      <alignment horizontal="center"/>
    </xf>
    <xf numFmtId="0" fontId="27" fillId="22" borderId="25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37" fillId="10" borderId="23" xfId="0" applyFont="1" applyFill="1" applyBorder="1" applyAlignment="1">
      <alignment horizontal="center"/>
    </xf>
    <xf numFmtId="0" fontId="37" fillId="10" borderId="24" xfId="0" applyFont="1" applyFill="1" applyBorder="1" applyAlignment="1">
      <alignment horizontal="center"/>
    </xf>
    <xf numFmtId="0" fontId="37" fillId="10" borderId="25" xfId="0" applyFont="1" applyFill="1" applyBorder="1" applyAlignment="1">
      <alignment horizontal="center"/>
    </xf>
    <xf numFmtId="0" fontId="20" fillId="29" borderId="7" xfId="0" applyFont="1" applyFill="1" applyBorder="1" applyAlignment="1">
      <alignment horizontal="center"/>
    </xf>
    <xf numFmtId="0" fontId="0" fillId="29" borderId="8" xfId="0" applyFill="1" applyBorder="1" applyAlignment="1">
      <alignment horizontal="center"/>
    </xf>
    <xf numFmtId="0" fontId="0" fillId="29" borderId="9" xfId="0" applyFill="1" applyBorder="1" applyAlignment="1">
      <alignment horizontal="center"/>
    </xf>
    <xf numFmtId="0" fontId="33" fillId="29" borderId="13" xfId="0" applyFont="1" applyFill="1" applyBorder="1" applyAlignment="1">
      <alignment horizontal="right" vertical="center"/>
    </xf>
    <xf numFmtId="0" fontId="33" fillId="29" borderId="30" xfId="0" applyFont="1" applyFill="1" applyBorder="1" applyAlignment="1">
      <alignment horizontal="right" vertical="center"/>
    </xf>
    <xf numFmtId="0" fontId="0" fillId="29" borderId="5" xfId="0" applyFill="1" applyBorder="1" applyAlignment="1">
      <alignment horizontal="right" vertical="center"/>
    </xf>
    <xf numFmtId="0" fontId="0" fillId="29" borderId="31" xfId="0" applyFill="1" applyBorder="1" applyAlignment="1">
      <alignment horizontal="right" vertical="center"/>
    </xf>
    <xf numFmtId="0" fontId="0" fillId="29" borderId="20" xfId="0" applyFill="1" applyBorder="1" applyAlignment="1">
      <alignment horizontal="center" vertical="center"/>
    </xf>
    <xf numFmtId="0" fontId="0" fillId="29" borderId="5" xfId="0" applyFill="1" applyBorder="1" applyAlignment="1">
      <alignment horizontal="left" vertical="center"/>
    </xf>
    <xf numFmtId="0" fontId="0" fillId="29" borderId="31" xfId="0" applyFill="1" applyBorder="1" applyAlignment="1">
      <alignment horizontal="left" vertical="center"/>
    </xf>
    <xf numFmtId="0" fontId="40" fillId="4" borderId="2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/>
    </xf>
    <xf numFmtId="0" fontId="40" fillId="4" borderId="25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right" vertical="center"/>
    </xf>
    <xf numFmtId="0" fontId="33" fillId="4" borderId="30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4" borderId="31" xfId="0" applyFont="1" applyFill="1" applyBorder="1" applyAlignment="1">
      <alignment horizontal="right" vertical="center"/>
    </xf>
    <xf numFmtId="0" fontId="0" fillId="4" borderId="40" xfId="0" applyFill="1" applyBorder="1" applyAlignment="1">
      <alignment horizontal="center" wrapText="1"/>
    </xf>
    <xf numFmtId="0" fontId="0" fillId="4" borderId="77" xfId="0" applyFill="1" applyBorder="1" applyAlignment="1">
      <alignment horizontal="center" wrapText="1"/>
    </xf>
    <xf numFmtId="0" fontId="69" fillId="3" borderId="10" xfId="0" applyFont="1" applyFill="1" applyBorder="1" applyAlignment="1">
      <alignment horizontal="center" vertical="center"/>
    </xf>
    <xf numFmtId="0" fontId="16" fillId="3" borderId="7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60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29" borderId="57" xfId="0" applyFont="1" applyFill="1" applyBorder="1" applyAlignment="1">
      <alignment horizontal="center" vertical="center"/>
    </xf>
    <xf numFmtId="0" fontId="27" fillId="29" borderId="58" xfId="0" applyFont="1" applyFill="1" applyBorder="1" applyAlignment="1">
      <alignment horizontal="center" vertical="center"/>
    </xf>
    <xf numFmtId="0" fontId="33" fillId="20" borderId="1" xfId="0" applyFont="1" applyFill="1" applyBorder="1" applyAlignment="1">
      <alignment horizontal="center"/>
    </xf>
    <xf numFmtId="0" fontId="33" fillId="20" borderId="3" xfId="0" applyFont="1" applyFill="1" applyBorder="1" applyAlignment="1">
      <alignment horizontal="center"/>
    </xf>
    <xf numFmtId="0" fontId="33" fillId="20" borderId="6" xfId="0" applyFont="1" applyFill="1" applyBorder="1" applyAlignment="1">
      <alignment horizontal="center"/>
    </xf>
    <xf numFmtId="0" fontId="0" fillId="19" borderId="45" xfId="0" applyFill="1" applyBorder="1" applyAlignment="1">
      <alignment horizontal="left" vertical="center"/>
    </xf>
    <xf numFmtId="0" fontId="0" fillId="19" borderId="44" xfId="0" applyFill="1" applyBorder="1" applyAlignment="1">
      <alignment horizontal="left" vertical="center"/>
    </xf>
    <xf numFmtId="0" fontId="16" fillId="19" borderId="45" xfId="0" applyFont="1" applyFill="1" applyBorder="1" applyAlignment="1">
      <alignment horizontal="left" vertical="center"/>
    </xf>
    <xf numFmtId="0" fontId="16" fillId="19" borderId="44" xfId="0" applyFont="1" applyFill="1" applyBorder="1" applyAlignment="1">
      <alignment horizontal="left" vertical="center"/>
    </xf>
    <xf numFmtId="164" fontId="16" fillId="19" borderId="47" xfId="0" applyNumberFormat="1" applyFont="1" applyFill="1" applyBorder="1" applyAlignment="1">
      <alignment horizontal="right" vertical="center"/>
    </xf>
    <xf numFmtId="164" fontId="16" fillId="19" borderId="51" xfId="0" applyNumberFormat="1" applyFont="1" applyFill="1" applyBorder="1" applyAlignment="1">
      <alignment horizontal="right" vertical="center"/>
    </xf>
    <xf numFmtId="165" fontId="0" fillId="19" borderId="47" xfId="0" applyNumberFormat="1" applyFill="1" applyBorder="1" applyAlignment="1">
      <alignment horizontal="right" vertical="center"/>
    </xf>
    <xf numFmtId="165" fontId="0" fillId="19" borderId="51" xfId="0" applyNumberFormat="1" applyFill="1" applyBorder="1" applyAlignment="1">
      <alignment horizontal="right" vertical="center"/>
    </xf>
    <xf numFmtId="165" fontId="0" fillId="19" borderId="47" xfId="0" applyNumberFormat="1" applyFill="1" applyBorder="1" applyAlignment="1">
      <alignment horizontal="center" vertical="center"/>
    </xf>
    <xf numFmtId="165" fontId="0" fillId="19" borderId="51" xfId="0" applyNumberFormat="1" applyFill="1" applyBorder="1" applyAlignment="1">
      <alignment horizontal="center" vertical="center"/>
    </xf>
    <xf numFmtId="0" fontId="0" fillId="19" borderId="47" xfId="0" applyFill="1" applyBorder="1" applyAlignment="1">
      <alignment horizontal="right" vertical="center"/>
    </xf>
    <xf numFmtId="0" fontId="0" fillId="19" borderId="51" xfId="0" applyFill="1" applyBorder="1" applyAlignment="1">
      <alignment horizontal="right" vertical="center"/>
    </xf>
    <xf numFmtId="165" fontId="0" fillId="19" borderId="46" xfId="0" applyNumberFormat="1" applyFill="1" applyBorder="1" applyAlignment="1">
      <alignment horizontal="right" vertical="center"/>
    </xf>
    <xf numFmtId="0" fontId="20" fillId="13" borderId="23" xfId="0" applyFont="1" applyFill="1" applyBorder="1" applyAlignment="1">
      <alignment horizontal="center"/>
    </xf>
    <xf numFmtId="0" fontId="20" fillId="13" borderId="24" xfId="0" applyFont="1" applyFill="1" applyBorder="1" applyAlignment="1">
      <alignment horizontal="center"/>
    </xf>
    <xf numFmtId="0" fontId="20" fillId="13" borderId="25" xfId="0" applyFont="1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46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51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14" fillId="25" borderId="23" xfId="0" applyFont="1" applyFill="1" applyBorder="1" applyAlignment="1">
      <alignment horizontal="center"/>
    </xf>
    <xf numFmtId="0" fontId="14" fillId="25" borderId="24" xfId="0" applyFont="1" applyFill="1" applyBorder="1" applyAlignment="1">
      <alignment horizontal="center"/>
    </xf>
    <xf numFmtId="0" fontId="14" fillId="25" borderId="25" xfId="0" applyFont="1" applyFill="1" applyBorder="1" applyAlignment="1">
      <alignment horizontal="center"/>
    </xf>
    <xf numFmtId="165" fontId="16" fillId="19" borderId="47" xfId="0" applyNumberFormat="1" applyFont="1" applyFill="1" applyBorder="1" applyAlignment="1">
      <alignment horizontal="right" vertical="center"/>
    </xf>
    <xf numFmtId="165" fontId="16" fillId="19" borderId="51" xfId="0" applyNumberFormat="1" applyFont="1" applyFill="1" applyBorder="1" applyAlignment="1">
      <alignment horizontal="right" vertical="center"/>
    </xf>
    <xf numFmtId="0" fontId="0" fillId="19" borderId="43" xfId="0" applyFill="1" applyBorder="1" applyAlignment="1">
      <alignment horizontal="left" vertical="center"/>
    </xf>
    <xf numFmtId="164" fontId="0" fillId="19" borderId="21" xfId="0" applyNumberFormat="1" applyFill="1" applyBorder="1" applyAlignment="1">
      <alignment horizontal="right" vertical="center"/>
    </xf>
    <xf numFmtId="164" fontId="0" fillId="19" borderId="42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9" borderId="21" xfId="0" applyFill="1" applyBorder="1" applyAlignment="1">
      <alignment horizontal="center" wrapText="1"/>
    </xf>
    <xf numFmtId="0" fontId="0" fillId="9" borderId="48" xfId="0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14" borderId="23" xfId="0" applyFont="1" applyFill="1" applyBorder="1" applyAlignment="1">
      <alignment horizontal="center"/>
    </xf>
    <xf numFmtId="0" fontId="20" fillId="14" borderId="24" xfId="0" applyFont="1" applyFill="1" applyBorder="1" applyAlignment="1">
      <alignment horizontal="center"/>
    </xf>
    <xf numFmtId="0" fontId="20" fillId="14" borderId="25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15" borderId="23" xfId="0" applyFont="1" applyFill="1" applyBorder="1" applyAlignment="1">
      <alignment horizontal="center"/>
    </xf>
    <xf numFmtId="0" fontId="20" fillId="15" borderId="24" xfId="0" applyFont="1" applyFill="1" applyBorder="1" applyAlignment="1">
      <alignment horizontal="center"/>
    </xf>
    <xf numFmtId="0" fontId="20" fillId="15" borderId="25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6" fillId="0" borderId="0" xfId="0" applyFont="1" applyAlignment="1">
      <alignment horizontal="center"/>
    </xf>
    <xf numFmtId="0" fontId="76" fillId="0" borderId="34" xfId="0" applyFont="1" applyBorder="1" applyAlignment="1">
      <alignment horizontal="center"/>
    </xf>
    <xf numFmtId="0" fontId="48" fillId="26" borderId="23" xfId="0" applyFont="1" applyFill="1" applyBorder="1" applyAlignment="1">
      <alignment horizontal="center"/>
    </xf>
    <xf numFmtId="0" fontId="48" fillId="26" borderId="24" xfId="0" applyFont="1" applyFill="1" applyBorder="1" applyAlignment="1">
      <alignment horizontal="center"/>
    </xf>
    <xf numFmtId="0" fontId="48" fillId="26" borderId="2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9" fillId="0" borderId="11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52" fillId="2" borderId="2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0" fillId="25" borderId="42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6" fillId="24" borderId="23" xfId="0" applyFont="1" applyFill="1" applyBorder="1" applyAlignment="1">
      <alignment horizontal="center"/>
    </xf>
    <xf numFmtId="0" fontId="16" fillId="24" borderId="24" xfId="0" applyFont="1" applyFill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54" fillId="13" borderId="57" xfId="1" applyFont="1" applyFill="1" applyBorder="1" applyAlignment="1">
      <alignment horizontal="center" vertical="center" textRotation="90"/>
    </xf>
    <xf numFmtId="0" fontId="54" fillId="13" borderId="68" xfId="1" applyFont="1" applyFill="1" applyBorder="1" applyAlignment="1">
      <alignment horizontal="center" vertical="center" textRotation="90"/>
    </xf>
    <xf numFmtId="0" fontId="54" fillId="13" borderId="58" xfId="1" applyFont="1" applyFill="1" applyBorder="1" applyAlignment="1">
      <alignment horizontal="center" vertical="center" textRotation="90"/>
    </xf>
    <xf numFmtId="0" fontId="0" fillId="25" borderId="40" xfId="0" applyFill="1" applyBorder="1" applyAlignment="1">
      <alignment horizontal="center" vertical="center"/>
    </xf>
    <xf numFmtId="0" fontId="0" fillId="25" borderId="48" xfId="0" applyFill="1" applyBorder="1" applyAlignment="1">
      <alignment horizontal="center" vertical="center"/>
    </xf>
    <xf numFmtId="0" fontId="0" fillId="25" borderId="5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25" borderId="37" xfId="0" applyFill="1" applyBorder="1" applyAlignment="1">
      <alignment horizontal="center"/>
    </xf>
    <xf numFmtId="0" fontId="16" fillId="25" borderId="1" xfId="0" applyFont="1" applyFill="1" applyBorder="1" applyAlignment="1">
      <alignment horizontal="center"/>
    </xf>
    <xf numFmtId="0" fontId="16" fillId="25" borderId="3" xfId="0" applyFont="1" applyFill="1" applyBorder="1" applyAlignment="1">
      <alignment horizontal="center"/>
    </xf>
    <xf numFmtId="0" fontId="16" fillId="25" borderId="6" xfId="0" applyFont="1" applyFill="1" applyBorder="1" applyAlignment="1">
      <alignment horizontal="center"/>
    </xf>
    <xf numFmtId="0" fontId="24" fillId="25" borderId="2" xfId="0" applyFont="1" applyFill="1" applyBorder="1" applyAlignment="1">
      <alignment horizontal="center"/>
    </xf>
    <xf numFmtId="0" fontId="24" fillId="25" borderId="4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71" fillId="0" borderId="4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6" fillId="25" borderId="7" xfId="0" applyFont="1" applyFill="1" applyBorder="1" applyAlignment="1">
      <alignment horizontal="center"/>
    </xf>
    <xf numFmtId="0" fontId="16" fillId="25" borderId="8" xfId="0" applyFont="1" applyFill="1" applyBorder="1" applyAlignment="1">
      <alignment horizontal="center"/>
    </xf>
    <xf numFmtId="0" fontId="16" fillId="25" borderId="9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16" fillId="25" borderId="16" xfId="0" applyFont="1" applyFill="1" applyBorder="1" applyAlignment="1">
      <alignment horizontal="center"/>
    </xf>
    <xf numFmtId="0" fontId="16" fillId="25" borderId="5" xfId="0" applyFont="1" applyFill="1" applyBorder="1" applyAlignment="1">
      <alignment horizontal="center"/>
    </xf>
    <xf numFmtId="0" fontId="16" fillId="25" borderId="14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8" fillId="26" borderId="36" xfId="0" applyFont="1" applyFill="1" applyBorder="1" applyAlignment="1">
      <alignment horizontal="center"/>
    </xf>
    <xf numFmtId="0" fontId="48" fillId="26" borderId="37" xfId="0" applyFont="1" applyFill="1" applyBorder="1" applyAlignment="1">
      <alignment horizontal="center"/>
    </xf>
    <xf numFmtId="0" fontId="19" fillId="16" borderId="23" xfId="0" applyFont="1" applyFill="1" applyBorder="1" applyAlignment="1">
      <alignment horizontal="center"/>
    </xf>
    <xf numFmtId="0" fontId="19" fillId="16" borderId="25" xfId="0" applyFont="1" applyFill="1" applyBorder="1" applyAlignment="1">
      <alignment horizontal="center"/>
    </xf>
    <xf numFmtId="0" fontId="19" fillId="11" borderId="23" xfId="0" applyFont="1" applyFill="1" applyBorder="1" applyAlignment="1">
      <alignment horizontal="center"/>
    </xf>
    <xf numFmtId="0" fontId="19" fillId="11" borderId="25" xfId="0" applyFont="1" applyFill="1" applyBorder="1" applyAlignment="1">
      <alignment horizontal="center"/>
    </xf>
    <xf numFmtId="0" fontId="48" fillId="26" borderId="54" xfId="0" applyFont="1" applyFill="1" applyBorder="1" applyAlignment="1">
      <alignment horizontal="center"/>
    </xf>
    <xf numFmtId="0" fontId="48" fillId="26" borderId="55" xfId="0" applyFont="1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25" borderId="55" xfId="0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3" fillId="26" borderId="41" xfId="0" applyFont="1" applyFill="1" applyBorder="1" applyAlignment="1">
      <alignment horizontal="center"/>
    </xf>
    <xf numFmtId="0" fontId="33" fillId="26" borderId="1" xfId="0" applyFont="1" applyFill="1" applyBorder="1" applyAlignment="1">
      <alignment horizontal="center"/>
    </xf>
    <xf numFmtId="0" fontId="33" fillId="26" borderId="3" xfId="0" applyFont="1" applyFill="1" applyBorder="1" applyAlignment="1">
      <alignment horizontal="center"/>
    </xf>
    <xf numFmtId="0" fontId="33" fillId="26" borderId="37" xfId="0" applyFont="1" applyFill="1" applyBorder="1" applyAlignment="1">
      <alignment horizontal="center"/>
    </xf>
    <xf numFmtId="0" fontId="33" fillId="26" borderId="70" xfId="0" applyFont="1" applyFill="1" applyBorder="1" applyAlignment="1">
      <alignment horizontal="center"/>
    </xf>
    <xf numFmtId="0" fontId="33" fillId="26" borderId="72" xfId="0" applyFont="1" applyFill="1" applyBorder="1" applyAlignment="1">
      <alignment horizontal="center"/>
    </xf>
    <xf numFmtId="0" fontId="33" fillId="26" borderId="61" xfId="0" applyFont="1" applyFill="1" applyBorder="1" applyAlignment="1">
      <alignment horizontal="center"/>
    </xf>
    <xf numFmtId="0" fontId="33" fillId="26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0" fontId="27" fillId="4" borderId="24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25" xfId="0" applyFill="1" applyBorder="1" applyAlignment="1">
      <alignment horizontal="center"/>
    </xf>
    <xf numFmtId="0" fontId="0" fillId="21" borderId="24" xfId="0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0" fontId="0" fillId="21" borderId="52" xfId="0" applyFill="1" applyBorder="1" applyAlignment="1">
      <alignment horizontal="center"/>
    </xf>
    <xf numFmtId="0" fontId="0" fillId="21" borderId="53" xfId="0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0" fontId="20" fillId="18" borderId="36" xfId="0" applyFont="1" applyFill="1" applyBorder="1" applyAlignment="1">
      <alignment horizontal="center"/>
    </xf>
    <xf numFmtId="0" fontId="20" fillId="18" borderId="37" xfId="0" applyFont="1" applyFill="1" applyBorder="1" applyAlignment="1">
      <alignment horizontal="center"/>
    </xf>
    <xf numFmtId="0" fontId="48" fillId="8" borderId="19" xfId="0" applyFont="1" applyFill="1" applyBorder="1" applyAlignment="1">
      <alignment horizontal="center"/>
    </xf>
    <xf numFmtId="0" fontId="48" fillId="8" borderId="36" xfId="0" applyFont="1" applyFill="1" applyBorder="1" applyAlignment="1">
      <alignment horizontal="center"/>
    </xf>
    <xf numFmtId="0" fontId="48" fillId="8" borderId="37" xfId="0" applyFont="1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" fillId="27" borderId="36" xfId="0" applyFont="1" applyFill="1" applyBorder="1" applyAlignment="1">
      <alignment horizontal="center"/>
    </xf>
    <xf numFmtId="0" fontId="1" fillId="27" borderId="3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0" fillId="18" borderId="19" xfId="0" applyFont="1" applyFill="1" applyBorder="1" applyAlignment="1">
      <alignment horizontal="center"/>
    </xf>
    <xf numFmtId="0" fontId="13" fillId="14" borderId="23" xfId="0" applyFont="1" applyFill="1" applyBorder="1" applyAlignment="1">
      <alignment horizontal="center"/>
    </xf>
    <xf numFmtId="0" fontId="13" fillId="14" borderId="24" xfId="0" applyFont="1" applyFill="1" applyBorder="1" applyAlignment="1">
      <alignment horizontal="center"/>
    </xf>
    <xf numFmtId="0" fontId="20" fillId="18" borderId="51" xfId="0" applyFont="1" applyFill="1" applyBorder="1" applyAlignment="1">
      <alignment horizontal="center"/>
    </xf>
    <xf numFmtId="0" fontId="20" fillId="18" borderId="44" xfId="0" applyFont="1" applyFill="1" applyBorder="1" applyAlignment="1">
      <alignment horizontal="center"/>
    </xf>
    <xf numFmtId="0" fontId="0" fillId="17" borderId="52" xfId="0" applyFill="1" applyBorder="1" applyAlignment="1">
      <alignment horizontal="center"/>
    </xf>
    <xf numFmtId="0" fontId="0" fillId="17" borderId="53" xfId="0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3" fillId="19" borderId="3" xfId="0" applyFont="1" applyFill="1" applyBorder="1" applyAlignment="1">
      <alignment horizontal="center"/>
    </xf>
    <xf numFmtId="0" fontId="33" fillId="19" borderId="37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6" borderId="36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 2" xfId="2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strike val="0"/>
        <color rgb="FF92D05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137419</xdr:colOff>
      <xdr:row>2</xdr:row>
      <xdr:rowOff>110067</xdr:rowOff>
    </xdr:from>
    <xdr:to>
      <xdr:col>4</xdr:col>
      <xdr:colOff>770465</xdr:colOff>
      <xdr:row>3</xdr:row>
      <xdr:rowOff>67732</xdr:rowOff>
    </xdr:to>
    <xdr:sp macro="" textlink="">
      <xdr:nvSpPr>
        <xdr:cNvPr id="2" name="Rectángulo 1"/>
        <xdr:cNvSpPr/>
      </xdr:nvSpPr>
      <xdr:spPr>
        <a:xfrm>
          <a:off x="467619" y="609600"/>
          <a:ext cx="2834379" cy="1523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17585</xdr:colOff>
      <xdr:row>0</xdr:row>
      <xdr:rowOff>124330</xdr:rowOff>
    </xdr:from>
    <xdr:to>
      <xdr:col>3</xdr:col>
      <xdr:colOff>23446</xdr:colOff>
      <xdr:row>2</xdr:row>
      <xdr:rowOff>95023</xdr:rowOff>
    </xdr:to>
    <xdr:cxnSp macro="">
      <xdr:nvCxnSpPr>
        <xdr:cNvPr id="6" name="Conector recto de flecha 5"/>
        <xdr:cNvCxnSpPr/>
      </xdr:nvCxnSpPr>
      <xdr:spPr>
        <a:xfrm>
          <a:off x="1747325" y="124330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492369</xdr:colOff>
      <xdr:row>0</xdr:row>
      <xdr:rowOff>128953</xdr:rowOff>
    </xdr:from>
    <xdr:to>
      <xdr:col>2</xdr:col>
      <xdr:colOff>767861</xdr:colOff>
      <xdr:row>2</xdr:row>
      <xdr:rowOff>5861</xdr:rowOff>
    </xdr:to>
    <xdr:sp macro="" textlink="">
      <xdr:nvSpPr>
        <xdr:cNvPr id="8" name="CuadroTexto 7"/>
        <xdr:cNvSpPr txBox="1"/>
      </xdr:nvSpPr>
      <xdr:spPr>
        <a:xfrm>
          <a:off x="1611923" y="128953"/>
          <a:ext cx="275492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tx1"/>
              </a:solidFill>
            </a:rPr>
            <a:t>Q</a:t>
          </a:r>
        </a:p>
      </xdr:txBody>
    </xdr:sp>
    <xdr:clientData/>
  </xdr:twoCellAnchor>
  <xdr:twoCellAnchor>
    <xdr:from>
      <xdr:col>1</xdr:col>
      <xdr:colOff>149144</xdr:colOff>
      <xdr:row>5</xdr:row>
      <xdr:rowOff>187570</xdr:rowOff>
    </xdr:from>
    <xdr:to>
      <xdr:col>4</xdr:col>
      <xdr:colOff>758744</xdr:colOff>
      <xdr:row>5</xdr:row>
      <xdr:rowOff>187570</xdr:rowOff>
    </xdr:to>
    <xdr:cxnSp macro="">
      <xdr:nvCxnSpPr>
        <xdr:cNvPr id="10" name="Conector recto de flecha 9"/>
        <xdr:cNvCxnSpPr/>
      </xdr:nvCxnSpPr>
      <xdr:spPr>
        <a:xfrm>
          <a:off x="479344" y="1279770"/>
          <a:ext cx="281093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522850</xdr:colOff>
      <xdr:row>5</xdr:row>
      <xdr:rowOff>112673</xdr:rowOff>
    </xdr:from>
    <xdr:to>
      <xdr:col>3</xdr:col>
      <xdr:colOff>269631</xdr:colOff>
      <xdr:row>7</xdr:row>
      <xdr:rowOff>11723</xdr:rowOff>
    </xdr:to>
    <xdr:sp macro="" textlink="">
      <xdr:nvSpPr>
        <xdr:cNvPr id="12" name="CuadroTexto 11"/>
        <xdr:cNvSpPr txBox="1"/>
      </xdr:nvSpPr>
      <xdr:spPr>
        <a:xfrm>
          <a:off x="1733583" y="1204873"/>
          <a:ext cx="271715" cy="28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accent4"/>
              </a:solidFill>
            </a:rPr>
            <a:t>L</a:t>
          </a:r>
        </a:p>
      </xdr:txBody>
    </xdr:sp>
    <xdr:clientData/>
  </xdr:twoCellAnchor>
  <xdr:twoCellAnchor>
    <xdr:from>
      <xdr:col>3</xdr:col>
      <xdr:colOff>638907</xdr:colOff>
      <xdr:row>0</xdr:row>
      <xdr:rowOff>105507</xdr:rowOff>
    </xdr:from>
    <xdr:to>
      <xdr:col>4</xdr:col>
      <xdr:colOff>152400</xdr:colOff>
      <xdr:row>2</xdr:row>
      <xdr:rowOff>35170</xdr:rowOff>
    </xdr:to>
    <xdr:sp macro="" textlink="">
      <xdr:nvSpPr>
        <xdr:cNvPr id="18" name="CuadroTexto 17"/>
        <xdr:cNvSpPr txBox="1"/>
      </xdr:nvSpPr>
      <xdr:spPr>
        <a:xfrm>
          <a:off x="2549769" y="105507"/>
          <a:ext cx="304800" cy="293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400">
            <a:solidFill>
              <a:schemeClr val="accent4"/>
            </a:solidFill>
          </a:endParaRPr>
        </a:p>
      </xdr:txBody>
    </xdr:sp>
    <xdr:clientData/>
  </xdr:twoCellAnchor>
  <xdr:twoCellAnchor>
    <xdr:from>
      <xdr:col>5</xdr:col>
      <xdr:colOff>422031</xdr:colOff>
      <xdr:row>2</xdr:row>
      <xdr:rowOff>87924</xdr:rowOff>
    </xdr:from>
    <xdr:to>
      <xdr:col>5</xdr:col>
      <xdr:colOff>609600</xdr:colOff>
      <xdr:row>4</xdr:row>
      <xdr:rowOff>64477</xdr:rowOff>
    </xdr:to>
    <xdr:sp macro="" textlink="">
      <xdr:nvSpPr>
        <xdr:cNvPr id="19" name="Rectángulo 18"/>
        <xdr:cNvSpPr/>
      </xdr:nvSpPr>
      <xdr:spPr>
        <a:xfrm>
          <a:off x="3915508" y="451339"/>
          <a:ext cx="187569" cy="3399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364001</xdr:colOff>
      <xdr:row>4</xdr:row>
      <xdr:rowOff>144780</xdr:rowOff>
    </xdr:from>
    <xdr:to>
      <xdr:col>5</xdr:col>
      <xdr:colOff>617220</xdr:colOff>
      <xdr:row>4</xdr:row>
      <xdr:rowOff>151228</xdr:rowOff>
    </xdr:to>
    <xdr:cxnSp macro="">
      <xdr:nvCxnSpPr>
        <xdr:cNvPr id="21" name="Conector recto de flecha 20"/>
        <xdr:cNvCxnSpPr/>
      </xdr:nvCxnSpPr>
      <xdr:spPr>
        <a:xfrm flipV="1">
          <a:off x="3594881" y="1005840"/>
          <a:ext cx="253219" cy="6448"/>
        </a:xfrm>
        <a:prstGeom prst="straightConnector1">
          <a:avLst/>
        </a:prstGeom>
        <a:ln>
          <a:solidFill>
            <a:schemeClr val="accent4"/>
          </a:solidFill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750277</xdr:colOff>
      <xdr:row>2</xdr:row>
      <xdr:rowOff>76200</xdr:rowOff>
    </xdr:from>
    <xdr:to>
      <xdr:col>5</xdr:col>
      <xdr:colOff>756139</xdr:colOff>
      <xdr:row>4</xdr:row>
      <xdr:rowOff>58615</xdr:rowOff>
    </xdr:to>
    <xdr:cxnSp macro="">
      <xdr:nvCxnSpPr>
        <xdr:cNvPr id="24" name="Conector recto de flecha 23"/>
        <xdr:cNvCxnSpPr/>
      </xdr:nvCxnSpPr>
      <xdr:spPr>
        <a:xfrm>
          <a:off x="4243754" y="439615"/>
          <a:ext cx="5862" cy="345831"/>
        </a:xfrm>
        <a:prstGeom prst="straightConnector1">
          <a:avLst/>
        </a:prstGeom>
        <a:ln w="12700">
          <a:solidFill>
            <a:schemeClr val="accent4"/>
          </a:solidFill>
          <a:headEnd type="triangle" w="sm" len="med"/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738552</xdr:colOff>
      <xdr:row>2</xdr:row>
      <xdr:rowOff>105507</xdr:rowOff>
    </xdr:from>
    <xdr:to>
      <xdr:col>6</xdr:col>
      <xdr:colOff>222737</xdr:colOff>
      <xdr:row>3</xdr:row>
      <xdr:rowOff>164122</xdr:rowOff>
    </xdr:to>
    <xdr:sp macro="" textlink="">
      <xdr:nvSpPr>
        <xdr:cNvPr id="27" name="CuadroTexto 26"/>
        <xdr:cNvSpPr txBox="1"/>
      </xdr:nvSpPr>
      <xdr:spPr>
        <a:xfrm>
          <a:off x="4232029" y="468922"/>
          <a:ext cx="275493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accent4"/>
              </a:solidFill>
            </a:rPr>
            <a:t>h</a:t>
          </a:r>
        </a:p>
      </xdr:txBody>
    </xdr:sp>
    <xdr:clientData/>
  </xdr:twoCellAnchor>
  <xdr:twoCellAnchor>
    <xdr:from>
      <xdr:col>5</xdr:col>
      <xdr:colOff>398584</xdr:colOff>
      <xdr:row>4</xdr:row>
      <xdr:rowOff>146539</xdr:rowOff>
    </xdr:from>
    <xdr:to>
      <xdr:col>5</xdr:col>
      <xdr:colOff>586154</xdr:colOff>
      <xdr:row>6</xdr:row>
      <xdr:rowOff>17585</xdr:rowOff>
    </xdr:to>
    <xdr:sp macro="" textlink="">
      <xdr:nvSpPr>
        <xdr:cNvPr id="28" name="CuadroTexto 27"/>
        <xdr:cNvSpPr txBox="1"/>
      </xdr:nvSpPr>
      <xdr:spPr>
        <a:xfrm>
          <a:off x="3892061" y="873370"/>
          <a:ext cx="187570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accent4"/>
              </a:solidFill>
            </a:rPr>
            <a:t>b</a:t>
          </a:r>
        </a:p>
      </xdr:txBody>
    </xdr:sp>
    <xdr:clientData/>
  </xdr:twoCellAnchor>
  <xdr:twoCellAnchor>
    <xdr:from>
      <xdr:col>3</xdr:col>
      <xdr:colOff>451013</xdr:colOff>
      <xdr:row>0</xdr:row>
      <xdr:rowOff>132796</xdr:rowOff>
    </xdr:from>
    <xdr:to>
      <xdr:col>3</xdr:col>
      <xdr:colOff>456874</xdr:colOff>
      <xdr:row>2</xdr:row>
      <xdr:rowOff>103489</xdr:rowOff>
    </xdr:to>
    <xdr:cxnSp macro="">
      <xdr:nvCxnSpPr>
        <xdr:cNvPr id="16" name="Conector recto de flecha 15"/>
        <xdr:cNvCxnSpPr/>
      </xdr:nvCxnSpPr>
      <xdr:spPr>
        <a:xfrm>
          <a:off x="2180753" y="132796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658447</xdr:colOff>
      <xdr:row>0</xdr:row>
      <xdr:rowOff>115863</xdr:rowOff>
    </xdr:from>
    <xdr:to>
      <xdr:col>3</xdr:col>
      <xdr:colOff>664308</xdr:colOff>
      <xdr:row>2</xdr:row>
      <xdr:rowOff>86556</xdr:rowOff>
    </xdr:to>
    <xdr:cxnSp macro="">
      <xdr:nvCxnSpPr>
        <xdr:cNvPr id="17" name="Conector recto de flecha 16"/>
        <xdr:cNvCxnSpPr/>
      </xdr:nvCxnSpPr>
      <xdr:spPr>
        <a:xfrm>
          <a:off x="2388187" y="115863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62394</xdr:colOff>
      <xdr:row>0</xdr:row>
      <xdr:rowOff>126023</xdr:rowOff>
    </xdr:from>
    <xdr:to>
      <xdr:col>4</xdr:col>
      <xdr:colOff>68255</xdr:colOff>
      <xdr:row>2</xdr:row>
      <xdr:rowOff>96716</xdr:rowOff>
    </xdr:to>
    <xdr:cxnSp macro="">
      <xdr:nvCxnSpPr>
        <xdr:cNvPr id="20" name="Conector recto de flecha 19"/>
        <xdr:cNvCxnSpPr/>
      </xdr:nvCxnSpPr>
      <xdr:spPr>
        <a:xfrm>
          <a:off x="2584614" y="126023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267287</xdr:colOff>
      <xdr:row>0</xdr:row>
      <xdr:rowOff>124330</xdr:rowOff>
    </xdr:from>
    <xdr:to>
      <xdr:col>4</xdr:col>
      <xdr:colOff>273148</xdr:colOff>
      <xdr:row>2</xdr:row>
      <xdr:rowOff>95023</xdr:rowOff>
    </xdr:to>
    <xdr:cxnSp macro="">
      <xdr:nvCxnSpPr>
        <xdr:cNvPr id="22" name="Conector recto de flecha 21"/>
        <xdr:cNvCxnSpPr/>
      </xdr:nvCxnSpPr>
      <xdr:spPr>
        <a:xfrm>
          <a:off x="2789507" y="124330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473027</xdr:colOff>
      <xdr:row>0</xdr:row>
      <xdr:rowOff>117557</xdr:rowOff>
    </xdr:from>
    <xdr:to>
      <xdr:col>4</xdr:col>
      <xdr:colOff>478888</xdr:colOff>
      <xdr:row>2</xdr:row>
      <xdr:rowOff>88250</xdr:rowOff>
    </xdr:to>
    <xdr:cxnSp macro="">
      <xdr:nvCxnSpPr>
        <xdr:cNvPr id="23" name="Conector recto de flecha 22"/>
        <xdr:cNvCxnSpPr/>
      </xdr:nvCxnSpPr>
      <xdr:spPr>
        <a:xfrm>
          <a:off x="2995247" y="117557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678767</xdr:colOff>
      <xdr:row>0</xdr:row>
      <xdr:rowOff>139569</xdr:rowOff>
    </xdr:from>
    <xdr:to>
      <xdr:col>4</xdr:col>
      <xdr:colOff>684628</xdr:colOff>
      <xdr:row>2</xdr:row>
      <xdr:rowOff>110262</xdr:rowOff>
    </xdr:to>
    <xdr:cxnSp macro="">
      <xdr:nvCxnSpPr>
        <xdr:cNvPr id="25" name="Conector recto de flecha 24"/>
        <xdr:cNvCxnSpPr/>
      </xdr:nvCxnSpPr>
      <xdr:spPr>
        <a:xfrm>
          <a:off x="3210300" y="139569"/>
          <a:ext cx="5861" cy="470226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144780</xdr:colOff>
      <xdr:row>0</xdr:row>
      <xdr:rowOff>115147</xdr:rowOff>
    </xdr:from>
    <xdr:to>
      <xdr:col>1</xdr:col>
      <xdr:colOff>150641</xdr:colOff>
      <xdr:row>2</xdr:row>
      <xdr:rowOff>85840</xdr:rowOff>
    </xdr:to>
    <xdr:cxnSp macro="">
      <xdr:nvCxnSpPr>
        <xdr:cNvPr id="26" name="Conector recto de flecha 25"/>
        <xdr:cNvCxnSpPr/>
      </xdr:nvCxnSpPr>
      <xdr:spPr>
        <a:xfrm>
          <a:off x="474980" y="115147"/>
          <a:ext cx="5861" cy="470226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0</xdr:row>
      <xdr:rowOff>119380</xdr:rowOff>
    </xdr:from>
    <xdr:to>
      <xdr:col>1</xdr:col>
      <xdr:colOff>501161</xdr:colOff>
      <xdr:row>2</xdr:row>
      <xdr:rowOff>90073</xdr:rowOff>
    </xdr:to>
    <xdr:cxnSp macro="">
      <xdr:nvCxnSpPr>
        <xdr:cNvPr id="29" name="Conector recto de flecha 28"/>
        <xdr:cNvCxnSpPr/>
      </xdr:nvCxnSpPr>
      <xdr:spPr>
        <a:xfrm>
          <a:off x="822960" y="119380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726439</xdr:colOff>
      <xdr:row>0</xdr:row>
      <xdr:rowOff>111759</xdr:rowOff>
    </xdr:from>
    <xdr:to>
      <xdr:col>1</xdr:col>
      <xdr:colOff>732300</xdr:colOff>
      <xdr:row>2</xdr:row>
      <xdr:rowOff>82452</xdr:rowOff>
    </xdr:to>
    <xdr:cxnSp macro="">
      <xdr:nvCxnSpPr>
        <xdr:cNvPr id="30" name="Conector recto de flecha 29"/>
        <xdr:cNvCxnSpPr/>
      </xdr:nvCxnSpPr>
      <xdr:spPr>
        <a:xfrm>
          <a:off x="1054099" y="111759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71966</xdr:colOff>
      <xdr:row>0</xdr:row>
      <xdr:rowOff>125307</xdr:rowOff>
    </xdr:from>
    <xdr:to>
      <xdr:col>2</xdr:col>
      <xdr:colOff>77827</xdr:colOff>
      <xdr:row>2</xdr:row>
      <xdr:rowOff>96000</xdr:rowOff>
    </xdr:to>
    <xdr:cxnSp macro="">
      <xdr:nvCxnSpPr>
        <xdr:cNvPr id="31" name="Conector recto de flecha 30"/>
        <xdr:cNvCxnSpPr/>
      </xdr:nvCxnSpPr>
      <xdr:spPr>
        <a:xfrm>
          <a:off x="1282699" y="125307"/>
          <a:ext cx="5861" cy="470226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293794</xdr:colOff>
      <xdr:row>0</xdr:row>
      <xdr:rowOff>111761</xdr:rowOff>
    </xdr:from>
    <xdr:to>
      <xdr:col>2</xdr:col>
      <xdr:colOff>299655</xdr:colOff>
      <xdr:row>2</xdr:row>
      <xdr:rowOff>82454</xdr:rowOff>
    </xdr:to>
    <xdr:cxnSp macro="">
      <xdr:nvCxnSpPr>
        <xdr:cNvPr id="32" name="Conector recto de flecha 31"/>
        <xdr:cNvCxnSpPr/>
      </xdr:nvCxnSpPr>
      <xdr:spPr>
        <a:xfrm>
          <a:off x="1497754" y="111761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0</xdr:row>
      <xdr:rowOff>133774</xdr:rowOff>
    </xdr:from>
    <xdr:to>
      <xdr:col>3</xdr:col>
      <xdr:colOff>242081</xdr:colOff>
      <xdr:row>2</xdr:row>
      <xdr:rowOff>104467</xdr:rowOff>
    </xdr:to>
    <xdr:cxnSp macro="">
      <xdr:nvCxnSpPr>
        <xdr:cNvPr id="33" name="Conector recto de flecha 32"/>
        <xdr:cNvCxnSpPr/>
      </xdr:nvCxnSpPr>
      <xdr:spPr>
        <a:xfrm>
          <a:off x="1965960" y="133774"/>
          <a:ext cx="5861" cy="465993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320040</xdr:colOff>
      <xdr:row>0</xdr:row>
      <xdr:rowOff>124460</xdr:rowOff>
    </xdr:from>
    <xdr:to>
      <xdr:col>1</xdr:col>
      <xdr:colOff>325901</xdr:colOff>
      <xdr:row>2</xdr:row>
      <xdr:rowOff>95153</xdr:rowOff>
    </xdr:to>
    <xdr:cxnSp macro="">
      <xdr:nvCxnSpPr>
        <xdr:cNvPr id="34" name="Conector recto de flecha 33"/>
        <xdr:cNvCxnSpPr/>
      </xdr:nvCxnSpPr>
      <xdr:spPr>
        <a:xfrm>
          <a:off x="650240" y="124460"/>
          <a:ext cx="5861" cy="470226"/>
        </a:xfrm>
        <a:prstGeom prst="straightConnector1">
          <a:avLst/>
        </a:prstGeom>
        <a:ln w="38100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53340</xdr:colOff>
      <xdr:row>0</xdr:row>
      <xdr:rowOff>186690</xdr:rowOff>
    </xdr:from>
    <xdr:ext cx="4588628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11237807" y="186690"/>
              <a:ext cx="4588628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 panose="02040503050406030204" pitchFamily="18" charset="0"/>
                    </a:rPr>
                    <m:t>𝑏</m:t>
                  </m:r>
                  <m:r>
                    <a:rPr lang="es-E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≥2·</m:t>
                  </m:r>
                  <m:d>
                    <m:dPr>
                      <m:ctrlP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𝑟</m:t>
                      </m:r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+∆</m:t>
                      </m:r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𝑟</m:t>
                      </m:r>
                    </m:e>
                  </m:d>
                  <m:r>
                    <a:rPr lang="es-E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r>
                    <a:rPr lang="es-E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𝑛</m:t>
                  </m:r>
                  <m:r>
                    <a:rPr lang="es-E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·</m:t>
                  </m:r>
                  <m:sSub>
                    <m:sSubPr>
                      <m:ctrlP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∅</m:t>
                      </m:r>
                    </m:e>
                    <m:sub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𝑖𝑛𝑓</m:t>
                      </m:r>
                    </m:sub>
                  </m:sSub>
                  <m:r>
                    <a:rPr lang="es-E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+2·</m:t>
                  </m:r>
                  <m:sSub>
                    <m:sSubPr>
                      <m:ctrlP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∅</m:t>
                      </m:r>
                    </m:e>
                    <m:sub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𝑡</m:t>
                      </m:r>
                    </m:sub>
                  </m:sSub>
                  <m:r>
                    <a:rPr lang="es-ES" sz="11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+(</m:t>
                  </m:r>
                  <m:r>
                    <m:rPr>
                      <m:sty m:val="p"/>
                    </m:rPr>
                    <a:rPr lang="es-ES" sz="11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n</m:t>
                  </m:r>
                  <m:r>
                    <a:rPr lang="es-ES" sz="11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−1)·</m:t>
                  </m:r>
                  <m:r>
                    <m:rPr>
                      <m:sty m:val="p"/>
                    </m:rPr>
                    <a:rPr lang="es-ES" sz="11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max</m:t>
                  </m:r>
                  <m:r>
                    <a:rPr lang="es-ES" sz="11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(1,25·</m:t>
                  </m:r>
                  <m:sSub>
                    <m:sSubPr>
                      <m:ctrlP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𝐷</m:t>
                      </m:r>
                    </m:e>
                    <m:sub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</m:sub>
                  </m:sSub>
                  <m:r>
                    <a:rPr lang="es-E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,</m:t>
                  </m:r>
                  <m:sSub>
                    <m:sSubPr>
                      <m:ctrlP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∅</m:t>
                      </m:r>
                    </m:e>
                    <m:sub>
                      <m:r>
                        <a:rPr lang="es-E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</m:sub>
                  </m:sSub>
                </m:oMath>
              </a14:m>
              <a:r>
                <a:rPr lang="es-ES" sz="1100"/>
                <a:t>,20mm)</a:t>
              </a: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11237807" y="186690"/>
              <a:ext cx="4588628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𝑏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≥2·(𝑟+∆𝑟)+𝑛·∅_𝑖𝑛𝑓+2·∅_𝑡+(n−1)·max(1,25·𝐷_𝑚𝑎𝑥,∅_𝑚𝑎𝑥</a:t>
              </a:r>
              <a:r>
                <a:rPr lang="es-ES" sz="1100"/>
                <a:t>,20mm)</a:t>
              </a:r>
            </a:p>
          </xdr:txBody>
        </xdr:sp>
      </mc:Fallback>
    </mc:AlternateContent>
    <xdr:clientData/>
  </xdr:oneCellAnchor>
  <xdr:twoCellAnchor>
    <xdr:from>
      <xdr:col>1</xdr:col>
      <xdr:colOff>135466</xdr:colOff>
      <xdr:row>3</xdr:row>
      <xdr:rowOff>76199</xdr:rowOff>
    </xdr:from>
    <xdr:to>
      <xdr:col>1</xdr:col>
      <xdr:colOff>457200</xdr:colOff>
      <xdr:row>3</xdr:row>
      <xdr:rowOff>177799</xdr:rowOff>
    </xdr:to>
    <xdr:sp macro="" textlink="">
      <xdr:nvSpPr>
        <xdr:cNvPr id="7" name="Rectángulo 6"/>
        <xdr:cNvSpPr/>
      </xdr:nvSpPr>
      <xdr:spPr>
        <a:xfrm>
          <a:off x="465666" y="770466"/>
          <a:ext cx="321734" cy="1016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448733</xdr:colOff>
      <xdr:row>3</xdr:row>
      <xdr:rowOff>72473</xdr:rowOff>
    </xdr:from>
    <xdr:to>
      <xdr:col>4</xdr:col>
      <xdr:colOff>770467</xdr:colOff>
      <xdr:row>3</xdr:row>
      <xdr:rowOff>174073</xdr:rowOff>
    </xdr:to>
    <xdr:sp macro="" textlink="">
      <xdr:nvSpPr>
        <xdr:cNvPr id="35" name="Rectángulo 34"/>
        <xdr:cNvSpPr/>
      </xdr:nvSpPr>
      <xdr:spPr>
        <a:xfrm>
          <a:off x="2975525" y="767417"/>
          <a:ext cx="321734" cy="1016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120904</xdr:colOff>
      <xdr:row>4</xdr:row>
      <xdr:rowOff>8128</xdr:rowOff>
    </xdr:from>
    <xdr:to>
      <xdr:col>1</xdr:col>
      <xdr:colOff>448056</xdr:colOff>
      <xdr:row>4</xdr:row>
      <xdr:rowOff>12192</xdr:rowOff>
    </xdr:to>
    <xdr:cxnSp macro="">
      <xdr:nvCxnSpPr>
        <xdr:cNvPr id="11" name="Conector recto de flecha 10"/>
        <xdr:cNvCxnSpPr/>
      </xdr:nvCxnSpPr>
      <xdr:spPr>
        <a:xfrm>
          <a:off x="450088" y="901192"/>
          <a:ext cx="327152" cy="4064"/>
        </a:xfrm>
        <a:prstGeom prst="straightConnector1">
          <a:avLst/>
        </a:prstGeom>
        <a:ln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451104</xdr:colOff>
      <xdr:row>4</xdr:row>
      <xdr:rowOff>15241</xdr:rowOff>
    </xdr:from>
    <xdr:to>
      <xdr:col>4</xdr:col>
      <xdr:colOff>768096</xdr:colOff>
      <xdr:row>4</xdr:row>
      <xdr:rowOff>18288</xdr:rowOff>
    </xdr:to>
    <xdr:cxnSp macro="">
      <xdr:nvCxnSpPr>
        <xdr:cNvPr id="36" name="Conector recto de flecha 35"/>
        <xdr:cNvCxnSpPr/>
      </xdr:nvCxnSpPr>
      <xdr:spPr>
        <a:xfrm flipV="1">
          <a:off x="2977896" y="908305"/>
          <a:ext cx="316992" cy="3047"/>
        </a:xfrm>
        <a:prstGeom prst="straightConnector1">
          <a:avLst/>
        </a:prstGeom>
        <a:ln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474420</xdr:colOff>
      <xdr:row>3</xdr:row>
      <xdr:rowOff>87950</xdr:rowOff>
    </xdr:from>
    <xdr:to>
      <xdr:col>4</xdr:col>
      <xdr:colOff>746135</xdr:colOff>
      <xdr:row>4</xdr:row>
      <xdr:rowOff>185798</xdr:rowOff>
    </xdr:to>
    <xdr:sp macro="" textlink="">
      <xdr:nvSpPr>
        <xdr:cNvPr id="37" name="CuadroTexto 36"/>
        <xdr:cNvSpPr txBox="1"/>
      </xdr:nvSpPr>
      <xdr:spPr>
        <a:xfrm>
          <a:off x="3001212" y="782894"/>
          <a:ext cx="271715" cy="295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accent4"/>
              </a:solidFill>
            </a:rPr>
            <a:t>x</a:t>
          </a:r>
        </a:p>
      </xdr:txBody>
    </xdr:sp>
    <xdr:clientData/>
  </xdr:twoCellAnchor>
  <xdr:twoCellAnchor>
    <xdr:from>
      <xdr:col>1</xdr:col>
      <xdr:colOff>155058</xdr:colOff>
      <xdr:row>3</xdr:row>
      <xdr:rowOff>88628</xdr:rowOff>
    </xdr:from>
    <xdr:to>
      <xdr:col>1</xdr:col>
      <xdr:colOff>426773</xdr:colOff>
      <xdr:row>4</xdr:row>
      <xdr:rowOff>186476</xdr:rowOff>
    </xdr:to>
    <xdr:sp macro="" textlink="">
      <xdr:nvSpPr>
        <xdr:cNvPr id="38" name="CuadroTexto 37"/>
        <xdr:cNvSpPr txBox="1"/>
      </xdr:nvSpPr>
      <xdr:spPr>
        <a:xfrm>
          <a:off x="484242" y="783572"/>
          <a:ext cx="271715" cy="295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accent4"/>
              </a:solidFill>
            </a:rPr>
            <a:t>x</a:t>
          </a:r>
        </a:p>
      </xdr:txBody>
    </xdr:sp>
    <xdr:clientData/>
  </xdr:twoCellAnchor>
  <xdr:twoCellAnchor>
    <xdr:from>
      <xdr:col>1</xdr:col>
      <xdr:colOff>311574</xdr:colOff>
      <xdr:row>4</xdr:row>
      <xdr:rowOff>167172</xdr:rowOff>
    </xdr:from>
    <xdr:to>
      <xdr:col>4</xdr:col>
      <xdr:colOff>616374</xdr:colOff>
      <xdr:row>4</xdr:row>
      <xdr:rowOff>175639</xdr:rowOff>
    </xdr:to>
    <xdr:cxnSp macro="">
      <xdr:nvCxnSpPr>
        <xdr:cNvPr id="14" name="Conector recto de flecha 13"/>
        <xdr:cNvCxnSpPr/>
      </xdr:nvCxnSpPr>
      <xdr:spPr>
        <a:xfrm flipV="1">
          <a:off x="640758" y="1060236"/>
          <a:ext cx="2502408" cy="846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491067</xdr:colOff>
      <xdr:row>4</xdr:row>
      <xdr:rowOff>95166</xdr:rowOff>
    </xdr:from>
    <xdr:to>
      <xdr:col>3</xdr:col>
      <xdr:colOff>541020</xdr:colOff>
      <xdr:row>5</xdr:row>
      <xdr:rowOff>177774</xdr:rowOff>
    </xdr:to>
    <xdr:sp macro="" textlink="">
      <xdr:nvSpPr>
        <xdr:cNvPr id="40" name="CuadroTexto 39"/>
        <xdr:cNvSpPr txBox="1"/>
      </xdr:nvSpPr>
      <xdr:spPr>
        <a:xfrm>
          <a:off x="1695027" y="986706"/>
          <a:ext cx="575733" cy="288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accent4"/>
              </a:solidFill>
            </a:rPr>
            <a:t>l=L-x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121920</xdr:colOff>
      <xdr:row>11</xdr:row>
      <xdr:rowOff>72390</xdr:rowOff>
    </xdr:from>
    <xdr:ext cx="2270760" cy="506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0134600" y="2602230"/>
              <a:ext cx="2270760" cy="506730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az-Cyrl-AZ" sz="1100" i="1">
                        <a:latin typeface="Cambria Math" panose="02040503050406030204" pitchFamily="18" charset="0"/>
                      </a:rPr>
                      <m:t>Ԑ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𝑠𝑚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−Ԑ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𝑐𝑚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−0,4·</m:t>
                        </m:r>
                        <m:f>
                          <m:f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𝑐𝑡𝑚</m:t>
                                </m:r>
                              </m:sub>
                            </m:s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𝜌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es-E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𝜌</m:t>
                            </m:r>
                          </m:den>
                        </m:f>
                      </m:num>
                      <m:den>
                        <m:sSub>
                          <m:sSubPr>
                            <m:ctrlPr>
                              <a:rPr lang="es-E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</m:e>
                          <m: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0134600" y="2602230"/>
              <a:ext cx="2270760" cy="506730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az-Cyrl-AZ" sz="1100" i="0">
                  <a:latin typeface="Cambria Math" panose="02040503050406030204" pitchFamily="18" charset="0"/>
                </a:rPr>
                <a:t>Ԑ</a:t>
              </a:r>
              <a:r>
                <a:rPr lang="es-ES" sz="1100" i="0">
                  <a:latin typeface="Cambria Math" panose="02040503050406030204" pitchFamily="18" charset="0"/>
                </a:rPr>
                <a:t>𝑠𝑚−Ԑ𝑐𝑚=(</a:t>
              </a:r>
              <a:r>
                <a:rPr lang="es-E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ES" sz="1100" b="0" i="0">
                  <a:latin typeface="Cambria Math" panose="02040503050406030204" pitchFamily="18" charset="0"/>
                </a:rPr>
                <a:t>𝑠−0,4·(𝑓_𝑐𝑡𝑚 (1+𝑛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𝜌))/𝜌)/</a:t>
              </a:r>
              <a:r>
                <a:rPr lang="es-ES" sz="1100" b="0" i="0">
                  <a:latin typeface="Cambria Math" panose="02040503050406030204" pitchFamily="18" charset="0"/>
                </a:rPr>
                <a:t>𝐸_𝑠 </a:t>
              </a:r>
              <a:endParaRPr lang="es-E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487680</xdr:colOff>
      <xdr:row>12</xdr:row>
      <xdr:rowOff>7620</xdr:rowOff>
    </xdr:from>
    <xdr:ext cx="1273386" cy="3390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3671147" y="2488353"/>
              <a:ext cx="1273386" cy="3390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5·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384·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3671147" y="2488353"/>
              <a:ext cx="1273386" cy="3390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𝑓_𝑖=(5·𝑞·𝐿^4)/(384·𝐸·𝐼)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4</xdr:col>
      <xdr:colOff>220980</xdr:colOff>
      <xdr:row>14</xdr:row>
      <xdr:rowOff>102870</xdr:rowOff>
    </xdr:from>
    <xdr:ext cx="2103396" cy="443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3390900" y="2876550"/>
              <a:ext cx="2103396" cy="4431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𝑀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𝑓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𝑀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𝑎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𝑀</m:t>
                                        </m:r>
                                      </m:e>
                                      <m:sub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𝑓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𝑀</m:t>
                                        </m:r>
                                      </m:e>
                                      <m:sub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𝑎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3390900" y="2876550"/>
              <a:ext cx="2103396" cy="4431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𝐼_𝑒=(𝑀_𝑓/𝑀_𝑎 )^3·𝐼_𝑏+[1−(𝑀_𝑓/𝑀_𝑎 )^3 ]·𝐼_𝑓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4</xdr:col>
      <xdr:colOff>320040</xdr:colOff>
      <xdr:row>17</xdr:row>
      <xdr:rowOff>41910</xdr:rowOff>
    </xdr:from>
    <xdr:ext cx="1198983" cy="3397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3503507" y="3564043"/>
              <a:ext cx="1198983" cy="3397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h</m:t>
                            </m:r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𝑐𝑡𝑚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𝑓𝑙</m:t>
                        </m:r>
                      </m:sub>
                    </m:sSub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3503507" y="3564043"/>
              <a:ext cx="1198983" cy="3397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𝑀_𝑓=(𝑏·ℎ^2)/6·𝑓_(𝑐𝑡𝑚,𝑓𝑙)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4</xdr:col>
      <xdr:colOff>327660</xdr:colOff>
      <xdr:row>20</xdr:row>
      <xdr:rowOff>19050</xdr:rowOff>
    </xdr:from>
    <xdr:ext cx="734368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3497580" y="3966210"/>
              <a:ext cx="73436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3497580" y="3966210"/>
              <a:ext cx="73436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𝑀_𝑎=(𝑄·𝐿^2)/8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4</xdr:col>
      <xdr:colOff>289560</xdr:colOff>
      <xdr:row>22</xdr:row>
      <xdr:rowOff>19050</xdr:rowOff>
    </xdr:from>
    <xdr:ext cx="952568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3459480" y="4347210"/>
              <a:ext cx="952568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3459480" y="4347210"/>
              <a:ext cx="952568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𝐼_𝑏=1/12·𝑏·ℎ^3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4</xdr:col>
      <xdr:colOff>274320</xdr:colOff>
      <xdr:row>24</xdr:row>
      <xdr:rowOff>26670</xdr:rowOff>
    </xdr:from>
    <xdr:ext cx="2154501" cy="3282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3457787" y="4937337"/>
              <a:ext cx="2154501" cy="3282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3457787" y="4937337"/>
              <a:ext cx="2154501" cy="3282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𝐼_𝑓=1/3 𝑏·(𝑥_𝑓 )^3+𝑛·𝐴_𝑠·(𝑑−𝑥_𝑓 )^2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4</xdr:col>
      <xdr:colOff>60960</xdr:colOff>
      <xdr:row>26</xdr:row>
      <xdr:rowOff>80010</xdr:rowOff>
    </xdr:from>
    <xdr:ext cx="2895536" cy="219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3230880" y="5185410"/>
              <a:ext cx="2895536" cy="219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=(−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·</m:t>
                    </m:r>
                    <m:sSub>
                      <m:sSub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+</m:t>
                    </m:r>
                    <m:rad>
                      <m:radPr>
                        <m:degHide m:val="on"/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  <m: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  <m:t>·</m:t>
                                </m:r>
                                <m:sSub>
                                  <m:sSub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𝑠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+2·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sSub>
                          <m:sSub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</m:rad>
                    <m:r>
                      <a:rPr lang="es-ES" sz="1100" b="0" i="1">
                        <a:latin typeface="Cambria Math" panose="02040503050406030204" pitchFamily="18" charset="0"/>
                      </a:rPr>
                      <m:t>)/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𝑏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3230880" y="5185410"/>
              <a:ext cx="2895536" cy="219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𝑥_𝑓=(−𝑛·𝐴_𝑠+√((𝑛·𝐴_𝑠 )^2+2·𝑏·𝑛·𝐴_𝑠·𝑑))/𝑏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10</xdr:col>
      <xdr:colOff>474133</xdr:colOff>
      <xdr:row>12</xdr:row>
      <xdr:rowOff>38100</xdr:rowOff>
    </xdr:from>
    <xdr:ext cx="603307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364133" y="2518833"/>
              <a:ext cx="603307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𝜌</m:t>
                    </m:r>
                    <m:r>
                      <a:rPr lang="es-E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´=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sub>
                        </m:sSub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·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364133" y="2518833"/>
              <a:ext cx="603307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𝜌´=</a:t>
              </a:r>
              <a:r>
                <a:rPr lang="es-ES" sz="1100" b="0" i="0">
                  <a:latin typeface="Cambria Math" panose="02040503050406030204" pitchFamily="18" charset="0"/>
                </a:rPr>
                <a:t>𝐴_𝑠/(𝑏·𝑑)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10</xdr:col>
      <xdr:colOff>567267</xdr:colOff>
      <xdr:row>14</xdr:row>
      <xdr:rowOff>105832</xdr:rowOff>
    </xdr:from>
    <xdr:ext cx="513795" cy="271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9457267" y="2976032"/>
              <a:ext cx="513795" cy="271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el-GR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λ</m:t>
                  </m:r>
                </m:oMath>
              </a14:m>
              <a:r>
                <a:rPr lang="es-ES" sz="1100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s-ES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l-GR" sz="1100" i="1">
                          <a:latin typeface="Cambria Math" panose="02040503050406030204" pitchFamily="18" charset="0"/>
                        </a:rPr>
                        <m:t>ξ</m:t>
                      </m:r>
                    </m:num>
                    <m:den>
                      <m:r>
                        <a:rPr lang="es-ES" sz="1100" b="0" i="1">
                          <a:latin typeface="Cambria Math" panose="02040503050406030204" pitchFamily="18" charset="0"/>
                        </a:rPr>
                        <m:t>1+50·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𝜌</m:t>
                      </m:r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´</m:t>
                      </m:r>
                    </m:den>
                  </m:f>
                </m:oMath>
              </a14:m>
              <a:endParaRPr lang="es-ES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9457267" y="2976032"/>
              <a:ext cx="513795" cy="271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"λ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ES" sz="1100"/>
                <a:t>=</a:t>
              </a:r>
              <a:r>
                <a:rPr lang="el-GR" sz="1100" i="0">
                  <a:latin typeface="Cambria Math" panose="02040503050406030204" pitchFamily="18" charset="0"/>
                </a:rPr>
                <a:t>ξ</a:t>
              </a:r>
              <a:r>
                <a:rPr lang="es-ES" sz="1100" i="0">
                  <a:latin typeface="Cambria Math" panose="02040503050406030204" pitchFamily="18" charset="0"/>
                </a:rPr>
                <a:t>/(</a:t>
              </a:r>
              <a:r>
                <a:rPr lang="es-ES" sz="1100" b="0" i="0">
                  <a:latin typeface="Cambria Math" panose="02040503050406030204" pitchFamily="18" charset="0"/>
                </a:rPr>
                <a:t>1+50·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𝜌´)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10</xdr:col>
      <xdr:colOff>541866</xdr:colOff>
      <xdr:row>16</xdr:row>
      <xdr:rowOff>105832</xdr:rowOff>
    </xdr:from>
    <xdr:ext cx="50872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9431866" y="3390899"/>
              <a:ext cx="5087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E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𝑑</m:t>
                      </m:r>
                    </m:sub>
                  </m:sSub>
                  <m:r>
                    <a:rPr lang="es-ES" sz="1100" b="0" i="1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s-ES" sz="1100"/>
                <a:t> 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l-GR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λ</m:t>
                  </m:r>
                </m:oMath>
              </a14:m>
              <a:r>
                <a:rPr lang="es-ES" sz="1100"/>
                <a:t>·</a:t>
              </a:r>
              <a14:m>
                <m:oMath xmlns:m="http://schemas.openxmlformats.org/officeDocument/2006/math">
                  <m:sSub>
                    <m:sSubPr>
                      <m:ctrlPr>
                        <a:rPr lang="es-E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</m:oMath>
              </a14:m>
              <a:endParaRPr lang="es-ES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9431866" y="3390899"/>
              <a:ext cx="5087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𝑓_𝑑=</a:t>
              </a:r>
              <a:r>
                <a:rPr lang="es-ES" sz="1100"/>
                <a:t> 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"λ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ES" sz="1100"/>
                <a:t>·</a:t>
              </a:r>
              <a:r>
                <a:rPr lang="es-ES" sz="1100" b="0" i="0">
                  <a:latin typeface="Cambria Math" panose="02040503050406030204" pitchFamily="18" charset="0"/>
                </a:rPr>
                <a:t>𝑓_𝑖</a:t>
              </a:r>
              <a:endParaRPr lang="es-E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352849</xdr:colOff>
      <xdr:row>39</xdr:row>
      <xdr:rowOff>40853</xdr:rowOff>
    </xdr:from>
    <xdr:ext cx="1278467" cy="1130477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0249" y="6946478"/>
          <a:ext cx="1278467" cy="1130477"/>
        </a:xfrm>
        <a:prstGeom prst="rect">
          <a:avLst/>
        </a:prstGeom>
      </xdr:spPr>
    </xdr:pic>
    <xdr:clientData/>
  </xdr:oneCellAnchor>
  <xdr:twoCellAnchor>
    <xdr:from>
      <xdr:col>0</xdr:col>
      <xdr:colOff>685800</xdr:colOff>
      <xdr:row>13</xdr:row>
      <xdr:rowOff>133350</xdr:rowOff>
    </xdr:from>
    <xdr:to>
      <xdr:col>0</xdr:col>
      <xdr:colOff>1638300</xdr:colOff>
      <xdr:row>13</xdr:row>
      <xdr:rowOff>133350</xdr:rowOff>
    </xdr:to>
    <xdr:cxnSp macro="">
      <xdr:nvCxnSpPr>
        <xdr:cNvPr id="9" name="Conector recto de flecha 8"/>
        <xdr:cNvCxnSpPr/>
      </xdr:nvCxnSpPr>
      <xdr:spPr>
        <a:xfrm>
          <a:off x="685800" y="2028825"/>
          <a:ext cx="952500" cy="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76201</xdr:colOff>
      <xdr:row>13</xdr:row>
      <xdr:rowOff>123826</xdr:rowOff>
    </xdr:from>
    <xdr:to>
      <xdr:col>4</xdr:col>
      <xdr:colOff>923925</xdr:colOff>
      <xdr:row>13</xdr:row>
      <xdr:rowOff>142875</xdr:rowOff>
    </xdr:to>
    <xdr:cxnSp macro="">
      <xdr:nvCxnSpPr>
        <xdr:cNvPr id="11" name="Conector recto de flecha 10"/>
        <xdr:cNvCxnSpPr/>
      </xdr:nvCxnSpPr>
      <xdr:spPr>
        <a:xfrm flipH="1" flipV="1">
          <a:off x="4162426" y="2019301"/>
          <a:ext cx="847724" cy="19049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408709</xdr:colOff>
      <xdr:row>16</xdr:row>
      <xdr:rowOff>159401</xdr:rowOff>
    </xdr:from>
    <xdr:to>
      <xdr:col>3</xdr:col>
      <xdr:colOff>67788</xdr:colOff>
      <xdr:row>16</xdr:row>
      <xdr:rowOff>159401</xdr:rowOff>
    </xdr:to>
    <xdr:cxnSp macro="">
      <xdr:nvCxnSpPr>
        <xdr:cNvPr id="98" name="Conector recto 97"/>
        <xdr:cNvCxnSpPr/>
      </xdr:nvCxnSpPr>
      <xdr:spPr>
        <a:xfrm>
          <a:off x="408709" y="2765441"/>
          <a:ext cx="312617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408709</xdr:colOff>
      <xdr:row>16</xdr:row>
      <xdr:rowOff>161306</xdr:rowOff>
    </xdr:from>
    <xdr:to>
      <xdr:col>0</xdr:col>
      <xdr:colOff>408709</xdr:colOff>
      <xdr:row>21</xdr:row>
      <xdr:rowOff>88941</xdr:rowOff>
    </xdr:to>
    <xdr:cxnSp macro="">
      <xdr:nvCxnSpPr>
        <xdr:cNvPr id="99" name="Conector recto 98"/>
        <xdr:cNvCxnSpPr/>
      </xdr:nvCxnSpPr>
      <xdr:spPr>
        <a:xfrm>
          <a:off x="408709" y="2772888"/>
          <a:ext cx="0" cy="85588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418234</xdr:colOff>
      <xdr:row>21</xdr:row>
      <xdr:rowOff>88941</xdr:rowOff>
    </xdr:from>
    <xdr:to>
      <xdr:col>3</xdr:col>
      <xdr:colOff>77313</xdr:colOff>
      <xdr:row>21</xdr:row>
      <xdr:rowOff>88941</xdr:rowOff>
    </xdr:to>
    <xdr:cxnSp macro="">
      <xdr:nvCxnSpPr>
        <xdr:cNvPr id="100" name="Conector recto 99"/>
        <xdr:cNvCxnSpPr/>
      </xdr:nvCxnSpPr>
      <xdr:spPr>
        <a:xfrm>
          <a:off x="418234" y="3628777"/>
          <a:ext cx="312964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640080</xdr:colOff>
      <xdr:row>20</xdr:row>
      <xdr:rowOff>167640</xdr:rowOff>
    </xdr:from>
    <xdr:to>
      <xdr:col>3</xdr:col>
      <xdr:colOff>96363</xdr:colOff>
      <xdr:row>20</xdr:row>
      <xdr:rowOff>173800</xdr:rowOff>
    </xdr:to>
    <xdr:cxnSp macro="">
      <xdr:nvCxnSpPr>
        <xdr:cNvPr id="101" name="Conector recto 100"/>
        <xdr:cNvCxnSpPr/>
      </xdr:nvCxnSpPr>
      <xdr:spPr>
        <a:xfrm>
          <a:off x="640080" y="3520440"/>
          <a:ext cx="2923383" cy="61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1640155</xdr:colOff>
      <xdr:row>20</xdr:row>
      <xdr:rowOff>45893</xdr:rowOff>
    </xdr:from>
    <xdr:to>
      <xdr:col>3</xdr:col>
      <xdr:colOff>77313</xdr:colOff>
      <xdr:row>20</xdr:row>
      <xdr:rowOff>55418</xdr:rowOff>
    </xdr:to>
    <xdr:cxnSp macro="">
      <xdr:nvCxnSpPr>
        <xdr:cNvPr id="103" name="Conector recto 102"/>
        <xdr:cNvCxnSpPr/>
      </xdr:nvCxnSpPr>
      <xdr:spPr>
        <a:xfrm>
          <a:off x="1640155" y="3405620"/>
          <a:ext cx="1907722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1668730</xdr:colOff>
      <xdr:row>22</xdr:row>
      <xdr:rowOff>93889</xdr:rowOff>
    </xdr:from>
    <xdr:to>
      <xdr:col>3</xdr:col>
      <xdr:colOff>67788</xdr:colOff>
      <xdr:row>22</xdr:row>
      <xdr:rowOff>93889</xdr:rowOff>
    </xdr:to>
    <xdr:cxnSp macro="">
      <xdr:nvCxnSpPr>
        <xdr:cNvPr id="104" name="Conector recto de flecha 103"/>
        <xdr:cNvCxnSpPr/>
      </xdr:nvCxnSpPr>
      <xdr:spPr>
        <a:xfrm flipH="1">
          <a:off x="1668730" y="3813834"/>
          <a:ext cx="1869622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1199285</xdr:colOff>
      <xdr:row>16</xdr:row>
      <xdr:rowOff>60613</xdr:rowOff>
    </xdr:from>
    <xdr:to>
      <xdr:col>0</xdr:col>
      <xdr:colOff>1408834</xdr:colOff>
      <xdr:row>16</xdr:row>
      <xdr:rowOff>70138</xdr:rowOff>
    </xdr:to>
    <xdr:cxnSp macro="">
      <xdr:nvCxnSpPr>
        <xdr:cNvPr id="105" name="Conector recto de flecha 104"/>
        <xdr:cNvCxnSpPr/>
      </xdr:nvCxnSpPr>
      <xdr:spPr>
        <a:xfrm flipH="1" flipV="1">
          <a:off x="1199285" y="2672195"/>
          <a:ext cx="209549" cy="95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95374</xdr:colOff>
      <xdr:row>16</xdr:row>
      <xdr:rowOff>41564</xdr:rowOff>
    </xdr:from>
    <xdr:to>
      <xdr:col>1</xdr:col>
      <xdr:colOff>323973</xdr:colOff>
      <xdr:row>16</xdr:row>
      <xdr:rowOff>51088</xdr:rowOff>
    </xdr:to>
    <xdr:cxnSp macro="">
      <xdr:nvCxnSpPr>
        <xdr:cNvPr id="106" name="Conector recto de flecha 105"/>
        <xdr:cNvCxnSpPr/>
      </xdr:nvCxnSpPr>
      <xdr:spPr>
        <a:xfrm>
          <a:off x="1792556" y="2653146"/>
          <a:ext cx="228599" cy="95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42306</xdr:colOff>
      <xdr:row>22</xdr:row>
      <xdr:rowOff>164647</xdr:rowOff>
    </xdr:from>
    <xdr:to>
      <xdr:col>1</xdr:col>
      <xdr:colOff>299480</xdr:colOff>
      <xdr:row>22</xdr:row>
      <xdr:rowOff>174171</xdr:rowOff>
    </xdr:to>
    <xdr:cxnSp macro="">
      <xdr:nvCxnSpPr>
        <xdr:cNvPr id="107" name="Conector recto de flecha 106"/>
        <xdr:cNvCxnSpPr/>
      </xdr:nvCxnSpPr>
      <xdr:spPr>
        <a:xfrm>
          <a:off x="1739488" y="3884592"/>
          <a:ext cx="257174" cy="95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1687780</xdr:colOff>
      <xdr:row>22</xdr:row>
      <xdr:rowOff>164647</xdr:rowOff>
    </xdr:from>
    <xdr:to>
      <xdr:col>1</xdr:col>
      <xdr:colOff>123948</xdr:colOff>
      <xdr:row>23</xdr:row>
      <xdr:rowOff>155987</xdr:rowOff>
    </xdr:to>
    <xdr:sp macro="" textlink="">
      <xdr:nvSpPr>
        <xdr:cNvPr id="108" name="CuadroTexto 107"/>
        <xdr:cNvSpPr txBox="1"/>
      </xdr:nvSpPr>
      <xdr:spPr>
        <a:xfrm>
          <a:off x="1687780" y="3884592"/>
          <a:ext cx="13335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B</a:t>
          </a:r>
        </a:p>
      </xdr:txBody>
    </xdr:sp>
    <xdr:clientData/>
  </xdr:twoCellAnchor>
  <xdr:twoCellAnchor>
    <xdr:from>
      <xdr:col>0</xdr:col>
      <xdr:colOff>799234</xdr:colOff>
      <xdr:row>25</xdr:row>
      <xdr:rowOff>48614</xdr:rowOff>
    </xdr:from>
    <xdr:to>
      <xdr:col>0</xdr:col>
      <xdr:colOff>1687780</xdr:colOff>
      <xdr:row>30</xdr:row>
      <xdr:rowOff>69025</xdr:rowOff>
    </xdr:to>
    <xdr:sp macro="" textlink="">
      <xdr:nvSpPr>
        <xdr:cNvPr id="109" name="Rectángulo 108"/>
        <xdr:cNvSpPr/>
      </xdr:nvSpPr>
      <xdr:spPr>
        <a:xfrm>
          <a:off x="799234" y="4322741"/>
          <a:ext cx="888546" cy="1163411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818283</xdr:colOff>
      <xdr:row>23</xdr:row>
      <xdr:rowOff>165511</xdr:rowOff>
    </xdr:from>
    <xdr:to>
      <xdr:col>0</xdr:col>
      <xdr:colOff>1691862</xdr:colOff>
      <xdr:row>25</xdr:row>
      <xdr:rowOff>20039</xdr:rowOff>
    </xdr:to>
    <xdr:sp macro="" textlink="">
      <xdr:nvSpPr>
        <xdr:cNvPr id="110" name="CuadroTexto 109"/>
        <xdr:cNvSpPr txBox="1"/>
      </xdr:nvSpPr>
      <xdr:spPr>
        <a:xfrm>
          <a:off x="818283" y="4065566"/>
          <a:ext cx="873579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u="sng"/>
            <a:t>Sección</a:t>
          </a:r>
          <a:r>
            <a:rPr lang="es-ES" sz="1100"/>
            <a:t> A-A</a:t>
          </a:r>
        </a:p>
      </xdr:txBody>
    </xdr:sp>
    <xdr:clientData/>
  </xdr:twoCellAnchor>
  <xdr:twoCellAnchor>
    <xdr:from>
      <xdr:col>1</xdr:col>
      <xdr:colOff>323973</xdr:colOff>
      <xdr:row>23</xdr:row>
      <xdr:rowOff>146461</xdr:rowOff>
    </xdr:from>
    <xdr:to>
      <xdr:col>2</xdr:col>
      <xdr:colOff>252475</xdr:colOff>
      <xdr:row>25</xdr:row>
      <xdr:rowOff>989</xdr:rowOff>
    </xdr:to>
    <xdr:sp macro="" textlink="">
      <xdr:nvSpPr>
        <xdr:cNvPr id="111" name="CuadroTexto 110"/>
        <xdr:cNvSpPr txBox="1"/>
      </xdr:nvSpPr>
      <xdr:spPr>
        <a:xfrm>
          <a:off x="2021155" y="4046516"/>
          <a:ext cx="88446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u="sng"/>
            <a:t>Sección</a:t>
          </a:r>
          <a:r>
            <a:rPr lang="es-ES" sz="1100"/>
            <a:t> B-B</a:t>
          </a:r>
        </a:p>
      </xdr:txBody>
    </xdr:sp>
    <xdr:clientData/>
  </xdr:twoCellAnchor>
  <xdr:twoCellAnchor>
    <xdr:from>
      <xdr:col>0</xdr:col>
      <xdr:colOff>863603</xdr:colOff>
      <xdr:row>25</xdr:row>
      <xdr:rowOff>127622</xdr:rowOff>
    </xdr:from>
    <xdr:to>
      <xdr:col>0</xdr:col>
      <xdr:colOff>936938</xdr:colOff>
      <xdr:row>26</xdr:row>
      <xdr:rowOff>13582</xdr:rowOff>
    </xdr:to>
    <xdr:sp macro="" textlink="">
      <xdr:nvSpPr>
        <xdr:cNvPr id="112" name="Conector 111"/>
        <xdr:cNvSpPr/>
      </xdr:nvSpPr>
      <xdr:spPr>
        <a:xfrm>
          <a:off x="863603" y="4402442"/>
          <a:ext cx="73335" cy="76460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1538573</xdr:colOff>
      <xdr:row>25</xdr:row>
      <xdr:rowOff>124011</xdr:rowOff>
    </xdr:from>
    <xdr:to>
      <xdr:col>0</xdr:col>
      <xdr:colOff>1616207</xdr:colOff>
      <xdr:row>26</xdr:row>
      <xdr:rowOff>5961</xdr:rowOff>
    </xdr:to>
    <xdr:sp macro="" textlink="">
      <xdr:nvSpPr>
        <xdr:cNvPr id="113" name="Conector 112"/>
        <xdr:cNvSpPr/>
      </xdr:nvSpPr>
      <xdr:spPr>
        <a:xfrm>
          <a:off x="1538573" y="4398831"/>
          <a:ext cx="77634" cy="72450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1214005</xdr:colOff>
      <xdr:row>29</xdr:row>
      <xdr:rowOff>104156</xdr:rowOff>
    </xdr:from>
    <xdr:to>
      <xdr:col>0</xdr:col>
      <xdr:colOff>1302326</xdr:colOff>
      <xdr:row>30</xdr:row>
      <xdr:rowOff>9276</xdr:rowOff>
    </xdr:to>
    <xdr:sp macro="" textlink="">
      <xdr:nvSpPr>
        <xdr:cNvPr id="114" name="Conector 113"/>
        <xdr:cNvSpPr/>
      </xdr:nvSpPr>
      <xdr:spPr>
        <a:xfrm>
          <a:off x="1214005" y="5341174"/>
          <a:ext cx="88321" cy="85229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1535380</xdr:colOff>
      <xdr:row>29</xdr:row>
      <xdr:rowOff>102177</xdr:rowOff>
    </xdr:from>
    <xdr:to>
      <xdr:col>0</xdr:col>
      <xdr:colOff>1623701</xdr:colOff>
      <xdr:row>30</xdr:row>
      <xdr:rowOff>7297</xdr:rowOff>
    </xdr:to>
    <xdr:sp macro="" textlink="">
      <xdr:nvSpPr>
        <xdr:cNvPr id="115" name="Conector 114"/>
        <xdr:cNvSpPr/>
      </xdr:nvSpPr>
      <xdr:spPr>
        <a:xfrm>
          <a:off x="1535380" y="5339195"/>
          <a:ext cx="88321" cy="85229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875434</xdr:colOff>
      <xdr:row>29</xdr:row>
      <xdr:rowOff>102177</xdr:rowOff>
    </xdr:from>
    <xdr:to>
      <xdr:col>0</xdr:col>
      <xdr:colOff>963755</xdr:colOff>
      <xdr:row>30</xdr:row>
      <xdr:rowOff>7297</xdr:rowOff>
    </xdr:to>
    <xdr:sp macro="" textlink="">
      <xdr:nvSpPr>
        <xdr:cNvPr id="116" name="Conector 115"/>
        <xdr:cNvSpPr/>
      </xdr:nvSpPr>
      <xdr:spPr>
        <a:xfrm>
          <a:off x="875434" y="5339195"/>
          <a:ext cx="88321" cy="85229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314448</xdr:colOff>
      <xdr:row>25</xdr:row>
      <xdr:rowOff>48614</xdr:rowOff>
    </xdr:from>
    <xdr:to>
      <xdr:col>2</xdr:col>
      <xdr:colOff>249753</xdr:colOff>
      <xdr:row>30</xdr:row>
      <xdr:rowOff>69025</xdr:rowOff>
    </xdr:to>
    <xdr:sp macro="" textlink="">
      <xdr:nvSpPr>
        <xdr:cNvPr id="117" name="Rectángulo 116"/>
        <xdr:cNvSpPr/>
      </xdr:nvSpPr>
      <xdr:spPr>
        <a:xfrm>
          <a:off x="2011630" y="4322741"/>
          <a:ext cx="891268" cy="1163411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714725</xdr:colOff>
      <xdr:row>29</xdr:row>
      <xdr:rowOff>102948</xdr:rowOff>
    </xdr:from>
    <xdr:to>
      <xdr:col>1</xdr:col>
      <xdr:colOff>805949</xdr:colOff>
      <xdr:row>30</xdr:row>
      <xdr:rowOff>8068</xdr:rowOff>
    </xdr:to>
    <xdr:sp macro="" textlink="">
      <xdr:nvSpPr>
        <xdr:cNvPr id="118" name="Conector 117"/>
        <xdr:cNvSpPr/>
      </xdr:nvSpPr>
      <xdr:spPr>
        <a:xfrm>
          <a:off x="2411907" y="5339966"/>
          <a:ext cx="91224" cy="85229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97897</xdr:colOff>
      <xdr:row>29</xdr:row>
      <xdr:rowOff>107711</xdr:rowOff>
    </xdr:from>
    <xdr:to>
      <xdr:col>2</xdr:col>
      <xdr:colOff>186218</xdr:colOff>
      <xdr:row>30</xdr:row>
      <xdr:rowOff>14283</xdr:rowOff>
    </xdr:to>
    <xdr:sp macro="" textlink="">
      <xdr:nvSpPr>
        <xdr:cNvPr id="119" name="Conector 118"/>
        <xdr:cNvSpPr/>
      </xdr:nvSpPr>
      <xdr:spPr>
        <a:xfrm>
          <a:off x="2751042" y="5344729"/>
          <a:ext cx="88321" cy="86681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381123</xdr:colOff>
      <xdr:row>29</xdr:row>
      <xdr:rowOff>104082</xdr:rowOff>
    </xdr:from>
    <xdr:to>
      <xdr:col>1</xdr:col>
      <xdr:colOff>469444</xdr:colOff>
      <xdr:row>30</xdr:row>
      <xdr:rowOff>9202</xdr:rowOff>
    </xdr:to>
    <xdr:sp macro="" textlink="">
      <xdr:nvSpPr>
        <xdr:cNvPr id="120" name="Conector 119"/>
        <xdr:cNvSpPr/>
      </xdr:nvSpPr>
      <xdr:spPr>
        <a:xfrm>
          <a:off x="2078305" y="5341100"/>
          <a:ext cx="88321" cy="85229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890573</xdr:colOff>
      <xdr:row>29</xdr:row>
      <xdr:rowOff>104082</xdr:rowOff>
    </xdr:from>
    <xdr:to>
      <xdr:col>2</xdr:col>
      <xdr:colOff>22931</xdr:colOff>
      <xdr:row>30</xdr:row>
      <xdr:rowOff>10654</xdr:rowOff>
    </xdr:to>
    <xdr:sp macro="" textlink="">
      <xdr:nvSpPr>
        <xdr:cNvPr id="121" name="Conector 120"/>
        <xdr:cNvSpPr/>
      </xdr:nvSpPr>
      <xdr:spPr>
        <a:xfrm>
          <a:off x="2587755" y="5341100"/>
          <a:ext cx="88321" cy="86681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537878</xdr:colOff>
      <xdr:row>29</xdr:row>
      <xdr:rowOff>104082</xdr:rowOff>
    </xdr:from>
    <xdr:to>
      <xdr:col>1</xdr:col>
      <xdr:colOff>626199</xdr:colOff>
      <xdr:row>30</xdr:row>
      <xdr:rowOff>9202</xdr:rowOff>
    </xdr:to>
    <xdr:sp macro="" textlink="">
      <xdr:nvSpPr>
        <xdr:cNvPr id="122" name="Conector 121"/>
        <xdr:cNvSpPr/>
      </xdr:nvSpPr>
      <xdr:spPr>
        <a:xfrm>
          <a:off x="2235060" y="5341100"/>
          <a:ext cx="88321" cy="85229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103681</xdr:colOff>
      <xdr:row>25</xdr:row>
      <xdr:rowOff>131433</xdr:rowOff>
    </xdr:from>
    <xdr:to>
      <xdr:col>2</xdr:col>
      <xdr:colOff>173553</xdr:colOff>
      <xdr:row>26</xdr:row>
      <xdr:rowOff>17393</xdr:rowOff>
    </xdr:to>
    <xdr:sp macro="" textlink="">
      <xdr:nvSpPr>
        <xdr:cNvPr id="123" name="Conector 122"/>
        <xdr:cNvSpPr/>
      </xdr:nvSpPr>
      <xdr:spPr>
        <a:xfrm>
          <a:off x="2755441" y="4406253"/>
          <a:ext cx="69872" cy="76460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375824</xdr:colOff>
      <xdr:row>25</xdr:row>
      <xdr:rowOff>125445</xdr:rowOff>
    </xdr:from>
    <xdr:to>
      <xdr:col>1</xdr:col>
      <xdr:colOff>449159</xdr:colOff>
      <xdr:row>26</xdr:row>
      <xdr:rowOff>11405</xdr:rowOff>
    </xdr:to>
    <xdr:sp macro="" textlink="">
      <xdr:nvSpPr>
        <xdr:cNvPr id="124" name="Conector 123"/>
        <xdr:cNvSpPr/>
      </xdr:nvSpPr>
      <xdr:spPr>
        <a:xfrm>
          <a:off x="2075084" y="4400265"/>
          <a:ext cx="73335" cy="76460"/>
        </a:xfrm>
        <a:prstGeom prst="flowChartConnector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83376</xdr:colOff>
      <xdr:row>16</xdr:row>
      <xdr:rowOff>141147</xdr:rowOff>
    </xdr:from>
    <xdr:to>
      <xdr:col>3</xdr:col>
      <xdr:colOff>102424</xdr:colOff>
      <xdr:row>21</xdr:row>
      <xdr:rowOff>102797</xdr:rowOff>
    </xdr:to>
    <xdr:cxnSp macro="">
      <xdr:nvCxnSpPr>
        <xdr:cNvPr id="125" name="Conector curvado 124"/>
        <xdr:cNvCxnSpPr/>
      </xdr:nvCxnSpPr>
      <xdr:spPr>
        <a:xfrm rot="5400000">
          <a:off x="3118512" y="3188157"/>
          <a:ext cx="889904" cy="19048"/>
        </a:xfrm>
        <a:prstGeom prst="curvedConnector3">
          <a:avLst/>
        </a:prstGeom>
        <a:ln>
          <a:prstDash val="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1205345</xdr:colOff>
      <xdr:row>16</xdr:row>
      <xdr:rowOff>55419</xdr:rowOff>
    </xdr:from>
    <xdr:to>
      <xdr:col>0</xdr:col>
      <xdr:colOff>1205345</xdr:colOff>
      <xdr:row>22</xdr:row>
      <xdr:rowOff>155370</xdr:rowOff>
    </xdr:to>
    <xdr:cxnSp macro="">
      <xdr:nvCxnSpPr>
        <xdr:cNvPr id="126" name="Conector recto 125"/>
        <xdr:cNvCxnSpPr/>
      </xdr:nvCxnSpPr>
      <xdr:spPr>
        <a:xfrm>
          <a:off x="1205345" y="2667001"/>
          <a:ext cx="0" cy="1208314"/>
        </a:xfrm>
        <a:prstGeom prst="line">
          <a:avLst/>
        </a:prstGeom>
        <a:ln w="190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339559</xdr:colOff>
      <xdr:row>16</xdr:row>
      <xdr:rowOff>55419</xdr:rowOff>
    </xdr:from>
    <xdr:to>
      <xdr:col>1</xdr:col>
      <xdr:colOff>339559</xdr:colOff>
      <xdr:row>22</xdr:row>
      <xdr:rowOff>155370</xdr:rowOff>
    </xdr:to>
    <xdr:cxnSp macro="">
      <xdr:nvCxnSpPr>
        <xdr:cNvPr id="127" name="Conector recto 126"/>
        <xdr:cNvCxnSpPr/>
      </xdr:nvCxnSpPr>
      <xdr:spPr>
        <a:xfrm>
          <a:off x="2036741" y="2667001"/>
          <a:ext cx="0" cy="1208314"/>
        </a:xfrm>
        <a:prstGeom prst="line">
          <a:avLst/>
        </a:prstGeom>
        <a:ln w="190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1232560</xdr:colOff>
      <xdr:row>22</xdr:row>
      <xdr:rowOff>126795</xdr:rowOff>
    </xdr:from>
    <xdr:to>
      <xdr:col>0</xdr:col>
      <xdr:colOff>1442109</xdr:colOff>
      <xdr:row>22</xdr:row>
      <xdr:rowOff>136320</xdr:rowOff>
    </xdr:to>
    <xdr:cxnSp macro="">
      <xdr:nvCxnSpPr>
        <xdr:cNvPr id="128" name="Conector recto de flecha 127"/>
        <xdr:cNvCxnSpPr/>
      </xdr:nvCxnSpPr>
      <xdr:spPr>
        <a:xfrm flipH="1" flipV="1">
          <a:off x="1232560" y="3846740"/>
          <a:ext cx="209549" cy="95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1214870</xdr:colOff>
      <xdr:row>22</xdr:row>
      <xdr:rowOff>164895</xdr:rowOff>
    </xdr:from>
    <xdr:to>
      <xdr:col>0</xdr:col>
      <xdr:colOff>1433945</xdr:colOff>
      <xdr:row>23</xdr:row>
      <xdr:rowOff>160317</xdr:rowOff>
    </xdr:to>
    <xdr:sp macro="" textlink="">
      <xdr:nvSpPr>
        <xdr:cNvPr id="131" name="CuadroTexto 130"/>
        <xdr:cNvSpPr txBox="1"/>
      </xdr:nvSpPr>
      <xdr:spPr>
        <a:xfrm>
          <a:off x="1214870" y="3884840"/>
          <a:ext cx="219075" cy="175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/>
            <a:t>A</a:t>
          </a:r>
        </a:p>
      </xdr:txBody>
    </xdr:sp>
    <xdr:clientData/>
  </xdr:twoCellAnchor>
  <xdr:twoCellAnchor>
    <xdr:from>
      <xdr:col>1</xdr:col>
      <xdr:colOff>6184</xdr:colOff>
      <xdr:row>22</xdr:row>
      <xdr:rowOff>178503</xdr:rowOff>
    </xdr:from>
    <xdr:to>
      <xdr:col>1</xdr:col>
      <xdr:colOff>139534</xdr:colOff>
      <xdr:row>23</xdr:row>
      <xdr:rowOff>169843</xdr:rowOff>
    </xdr:to>
    <xdr:sp macro="" textlink="">
      <xdr:nvSpPr>
        <xdr:cNvPr id="132" name="CuadroTexto 131"/>
        <xdr:cNvSpPr txBox="1"/>
      </xdr:nvSpPr>
      <xdr:spPr>
        <a:xfrm>
          <a:off x="1703366" y="3898448"/>
          <a:ext cx="13335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B</a:t>
          </a:r>
        </a:p>
      </xdr:txBody>
    </xdr:sp>
    <xdr:clientData/>
  </xdr:twoCellAnchor>
  <xdr:twoCellAnchor>
    <xdr:from>
      <xdr:col>1</xdr:col>
      <xdr:colOff>671376</xdr:colOff>
      <xdr:row>22</xdr:row>
      <xdr:rowOff>105320</xdr:rowOff>
    </xdr:from>
    <xdr:to>
      <xdr:col>2</xdr:col>
      <xdr:colOff>524419</xdr:colOff>
      <xdr:row>23</xdr:row>
      <xdr:rowOff>179615</xdr:rowOff>
    </xdr:to>
    <xdr:sp macro="" textlink="">
      <xdr:nvSpPr>
        <xdr:cNvPr id="135" name="CuadroTexto 134"/>
        <xdr:cNvSpPr txBox="1"/>
      </xdr:nvSpPr>
      <xdr:spPr>
        <a:xfrm>
          <a:off x="2370636" y="3823880"/>
          <a:ext cx="805543" cy="257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80% luz</a:t>
          </a:r>
        </a:p>
      </xdr:txBody>
    </xdr:sp>
    <xdr:clientData/>
  </xdr:twoCellAnchor>
  <xdr:twoCellAnchor>
    <xdr:from>
      <xdr:col>0</xdr:col>
      <xdr:colOff>1421234</xdr:colOff>
      <xdr:row>16</xdr:row>
      <xdr:rowOff>30480</xdr:rowOff>
    </xdr:from>
    <xdr:to>
      <xdr:col>0</xdr:col>
      <xdr:colOff>1577340</xdr:colOff>
      <xdr:row>16</xdr:row>
      <xdr:rowOff>141785</xdr:rowOff>
    </xdr:to>
    <xdr:sp macro="" textlink="">
      <xdr:nvSpPr>
        <xdr:cNvPr id="136" name="CuadroTexto 135"/>
        <xdr:cNvSpPr txBox="1"/>
      </xdr:nvSpPr>
      <xdr:spPr>
        <a:xfrm>
          <a:off x="1421234" y="2636520"/>
          <a:ext cx="156106" cy="1113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/>
            <a:t>A</a:t>
          </a:r>
        </a:p>
      </xdr:txBody>
    </xdr:sp>
    <xdr:clientData/>
  </xdr:twoCellAnchor>
  <xdr:twoCellAnchor>
    <xdr:from>
      <xdr:col>0</xdr:col>
      <xdr:colOff>1684836</xdr:colOff>
      <xdr:row>16</xdr:row>
      <xdr:rowOff>7620</xdr:rowOff>
    </xdr:from>
    <xdr:to>
      <xdr:col>1</xdr:col>
      <xdr:colOff>91440</xdr:colOff>
      <xdr:row>16</xdr:row>
      <xdr:rowOff>144780</xdr:rowOff>
    </xdr:to>
    <xdr:sp macro="" textlink="">
      <xdr:nvSpPr>
        <xdr:cNvPr id="137" name="CuadroTexto 136"/>
        <xdr:cNvSpPr txBox="1"/>
      </xdr:nvSpPr>
      <xdr:spPr>
        <a:xfrm>
          <a:off x="1684836" y="2613660"/>
          <a:ext cx="105864" cy="137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/>
            <a:t>B</a:t>
          </a:r>
        </a:p>
        <a:p>
          <a:endParaRPr lang="es-ES" sz="800"/>
        </a:p>
      </xdr:txBody>
    </xdr:sp>
    <xdr:clientData/>
  </xdr:twoCellAnchor>
  <xdr:twoCellAnchor>
    <xdr:from>
      <xdr:col>0</xdr:col>
      <xdr:colOff>570058</xdr:colOff>
      <xdr:row>19</xdr:row>
      <xdr:rowOff>148336</xdr:rowOff>
    </xdr:from>
    <xdr:to>
      <xdr:col>0</xdr:col>
      <xdr:colOff>844378</xdr:colOff>
      <xdr:row>20</xdr:row>
      <xdr:rowOff>175006</xdr:rowOff>
    </xdr:to>
    <xdr:sp macro="" textlink="">
      <xdr:nvSpPr>
        <xdr:cNvPr id="10" name="Arco 9"/>
        <xdr:cNvSpPr/>
      </xdr:nvSpPr>
      <xdr:spPr>
        <a:xfrm>
          <a:off x="570058" y="3315399"/>
          <a:ext cx="274320" cy="207645"/>
        </a:xfrm>
        <a:prstGeom prst="arc">
          <a:avLst>
            <a:gd name="adj1" fmla="val 7181451"/>
            <a:gd name="adj2" fmla="val 10492378"/>
          </a:avLst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573116</xdr:colOff>
      <xdr:row>19</xdr:row>
      <xdr:rowOff>130338</xdr:rowOff>
    </xdr:from>
    <xdr:to>
      <xdr:col>0</xdr:col>
      <xdr:colOff>620541</xdr:colOff>
      <xdr:row>20</xdr:row>
      <xdr:rowOff>88227</xdr:rowOff>
    </xdr:to>
    <xdr:cxnSp macro="">
      <xdr:nvCxnSpPr>
        <xdr:cNvPr id="14" name="Conector recto 13"/>
        <xdr:cNvCxnSpPr/>
      </xdr:nvCxnSpPr>
      <xdr:spPr>
        <a:xfrm flipV="1">
          <a:off x="573116" y="3297401"/>
          <a:ext cx="47425" cy="13886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594473</xdr:colOff>
      <xdr:row>17</xdr:row>
      <xdr:rowOff>28578</xdr:rowOff>
    </xdr:from>
    <xdr:to>
      <xdr:col>0</xdr:col>
      <xdr:colOff>804920</xdr:colOff>
      <xdr:row>18</xdr:row>
      <xdr:rowOff>112398</xdr:rowOff>
    </xdr:to>
    <xdr:sp macro="" textlink="">
      <xdr:nvSpPr>
        <xdr:cNvPr id="54" name="Arco 53"/>
        <xdr:cNvSpPr/>
      </xdr:nvSpPr>
      <xdr:spPr>
        <a:xfrm rot="3223730">
          <a:off x="562537" y="2856102"/>
          <a:ext cx="274320" cy="210447"/>
        </a:xfrm>
        <a:prstGeom prst="arc">
          <a:avLst>
            <a:gd name="adj1" fmla="val 8551243"/>
            <a:gd name="adj2" fmla="val 11715307"/>
          </a:avLst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647700</xdr:colOff>
      <xdr:row>17</xdr:row>
      <xdr:rowOff>40341</xdr:rowOff>
    </xdr:from>
    <xdr:to>
      <xdr:col>3</xdr:col>
      <xdr:colOff>104337</xdr:colOff>
      <xdr:row>17</xdr:row>
      <xdr:rowOff>46501</xdr:rowOff>
    </xdr:to>
    <xdr:cxnSp macro="">
      <xdr:nvCxnSpPr>
        <xdr:cNvPr id="55" name="Conector recto 54"/>
        <xdr:cNvCxnSpPr/>
      </xdr:nvCxnSpPr>
      <xdr:spPr>
        <a:xfrm>
          <a:off x="647700" y="2837329"/>
          <a:ext cx="2923737" cy="61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579638</xdr:colOff>
      <xdr:row>17</xdr:row>
      <xdr:rowOff>129548</xdr:rowOff>
    </xdr:from>
    <xdr:to>
      <xdr:col>0</xdr:col>
      <xdr:colOff>616268</xdr:colOff>
      <xdr:row>18</xdr:row>
      <xdr:rowOff>78723</xdr:rowOff>
    </xdr:to>
    <xdr:cxnSp macro="">
      <xdr:nvCxnSpPr>
        <xdr:cNvPr id="60" name="Conector recto 59"/>
        <xdr:cNvCxnSpPr/>
      </xdr:nvCxnSpPr>
      <xdr:spPr>
        <a:xfrm flipH="1" flipV="1">
          <a:off x="579638" y="2925136"/>
          <a:ext cx="36630" cy="1396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1524000</xdr:colOff>
      <xdr:row>27</xdr:row>
      <xdr:rowOff>66675</xdr:rowOff>
    </xdr:from>
    <xdr:to>
      <xdr:col>20</xdr:col>
      <xdr:colOff>104775</xdr:colOff>
      <xdr:row>35</xdr:row>
      <xdr:rowOff>168615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265" t="42320" r="13739" b="37585"/>
        <a:stretch/>
      </xdr:blipFill>
      <xdr:spPr>
        <a:xfrm>
          <a:off x="10782300" y="4752975"/>
          <a:ext cx="8715375" cy="1759290"/>
        </a:xfrm>
        <a:prstGeom prst="rect">
          <a:avLst/>
        </a:prstGeom>
      </xdr:spPr>
    </xdr:pic>
    <xdr:clientData/>
  </xdr:twoCellAnchor>
  <xdr:twoCellAnchor editAs="oneCell">
    <xdr:from>
      <xdr:col>7</xdr:col>
      <xdr:colOff>275492</xdr:colOff>
      <xdr:row>18</xdr:row>
      <xdr:rowOff>52755</xdr:rowOff>
    </xdr:from>
    <xdr:to>
      <xdr:col>9</xdr:col>
      <xdr:colOff>1371600</xdr:colOff>
      <xdr:row>22</xdr:row>
      <xdr:rowOff>123093</xdr:rowOff>
    </xdr:to>
    <xdr:pic>
      <xdr:nvPicPr>
        <xdr:cNvPr id="6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6154" y="3042140"/>
          <a:ext cx="2426677" cy="7971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2</xdr:row>
      <xdr:rowOff>85725</xdr:rowOff>
    </xdr:from>
    <xdr:to>
      <xdr:col>14</xdr:col>
      <xdr:colOff>542925</xdr:colOff>
      <xdr:row>8</xdr:row>
      <xdr:rowOff>104775</xdr:rowOff>
    </xdr:to>
    <xdr:sp macro="" textlink="">
      <xdr:nvSpPr>
        <xdr:cNvPr id="2" name="CuadroTexto 1"/>
        <xdr:cNvSpPr txBox="1"/>
      </xdr:nvSpPr>
      <xdr:spPr>
        <a:xfrm>
          <a:off x="6772275" y="542925"/>
          <a:ext cx="79438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/>
            <a:t>Después de realizar varias comprobaciones los mínimos y máximos son para las dosificaciones y cementos indicados</a:t>
          </a:r>
          <a:r>
            <a:rPr lang="es-ES" sz="1400" baseline="0"/>
            <a:t> en los cuadros inferiores. Para las funciones de valor se utilizan unos intervalos un poco mayores para dejar un poco de holgura.</a:t>
          </a:r>
        </a:p>
        <a:p>
          <a:r>
            <a:rPr lang="es-ES" sz="1400" baseline="0"/>
            <a:t>-  Para los mínimos se utiliza una viga de 2 metros de largo y de 25X15 cm (bxh).</a:t>
          </a:r>
        </a:p>
        <a:p>
          <a:r>
            <a:rPr lang="es-ES" sz="1400" baseline="0"/>
            <a:t>-  Para los máximos se utiliza una viga de 10 metros de largo y de 50x150 cm(bxh).</a:t>
          </a:r>
          <a:endParaRPr lang="es-ES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1"/>
  <sheetViews>
    <sheetView showGridLines="0" tabSelected="1" topLeftCell="A11" workbookViewId="0">
      <selection activeCell="D16" sqref="D16"/>
    </sheetView>
  </sheetViews>
  <sheetFormatPr baseColWidth="10" defaultRowHeight="14.4"/>
  <cols>
    <col min="3" max="3" width="6.6640625" customWidth="1"/>
    <col min="7" max="7" width="14.21875" customWidth="1"/>
    <col min="10" max="10" width="12.33203125" customWidth="1"/>
    <col min="13" max="13" width="18" customWidth="1"/>
    <col min="14" max="14" width="11" customWidth="1"/>
  </cols>
  <sheetData>
    <row r="3" spans="2:17" ht="15" thickBot="1">
      <c r="G3" s="688" t="s">
        <v>475</v>
      </c>
      <c r="H3" s="688"/>
      <c r="I3" s="688"/>
      <c r="J3" s="688"/>
    </row>
    <row r="4" spans="2:17" ht="21.6" thickBot="1">
      <c r="G4" s="63"/>
      <c r="H4" s="692" t="s">
        <v>93</v>
      </c>
      <c r="I4" s="693"/>
      <c r="J4" s="169" t="s">
        <v>94</v>
      </c>
      <c r="K4" s="104"/>
      <c r="M4" s="633" t="s">
        <v>618</v>
      </c>
      <c r="N4" s="634">
        <f>Sostenibilidad!C31</f>
        <v>0.71450435587292582</v>
      </c>
    </row>
    <row r="5" spans="2:17" ht="15.6">
      <c r="B5" s="630" t="s">
        <v>1</v>
      </c>
      <c r="C5" s="631">
        <f>Dimensionamiento!C16</f>
        <v>5</v>
      </c>
      <c r="D5" s="632" t="s">
        <v>6</v>
      </c>
      <c r="G5" s="166" t="s">
        <v>27</v>
      </c>
      <c r="H5" s="58">
        <f>Dimensionamiento!K3</f>
        <v>20</v>
      </c>
      <c r="I5" s="59" t="s">
        <v>9</v>
      </c>
      <c r="J5" s="62">
        <f>Dimensionamiento!N3</f>
        <v>4</v>
      </c>
      <c r="K5" s="368"/>
      <c r="M5" s="285" t="s">
        <v>619</v>
      </c>
      <c r="N5" s="635">
        <f>Sostenibilidad!F11</f>
        <v>0.93524440910753737</v>
      </c>
    </row>
    <row r="6" spans="2:17" ht="15.6">
      <c r="B6" s="630" t="s">
        <v>2</v>
      </c>
      <c r="C6" s="631">
        <f>Dimensionamiento!C17</f>
        <v>550</v>
      </c>
      <c r="D6" s="632" t="s">
        <v>9</v>
      </c>
      <c r="G6" s="167" t="s">
        <v>28</v>
      </c>
      <c r="H6" s="58">
        <f>Dimensionamiento!K4</f>
        <v>10</v>
      </c>
      <c r="I6" s="59" t="s">
        <v>9</v>
      </c>
      <c r="J6" s="62">
        <f>Dimensionamiento!N4</f>
        <v>2</v>
      </c>
      <c r="K6" s="368"/>
      <c r="M6" s="222" t="s">
        <v>620</v>
      </c>
      <c r="N6" s="636">
        <f>Sostenibilidad!F32</f>
        <v>0.78570552213208578</v>
      </c>
    </row>
    <row r="7" spans="2:17" ht="16.2" thickBot="1">
      <c r="B7" s="630" t="s">
        <v>3</v>
      </c>
      <c r="C7" s="631">
        <f>Dimensionamiento!C18</f>
        <v>250</v>
      </c>
      <c r="D7" s="632" t="s">
        <v>9</v>
      </c>
      <c r="G7" s="168" t="s">
        <v>29</v>
      </c>
      <c r="H7" s="60">
        <f>Dimensionamiento!K5</f>
        <v>10</v>
      </c>
      <c r="I7" s="61" t="s">
        <v>9</v>
      </c>
      <c r="J7" s="288" t="str">
        <f>Dimensionamiento!M5</f>
        <v>1 cada</v>
      </c>
      <c r="K7" s="130"/>
      <c r="M7" s="222" t="s">
        <v>621</v>
      </c>
      <c r="N7" s="636">
        <f>Sostenibilidad!F57</f>
        <v>0.42375256212200973</v>
      </c>
    </row>
    <row r="8" spans="2:17" ht="15" thickBot="1">
      <c r="B8" s="630" t="s">
        <v>473</v>
      </c>
      <c r="C8" s="631">
        <f>Dimensionamiento!C10</f>
        <v>13.5</v>
      </c>
      <c r="D8" s="632" t="s">
        <v>5</v>
      </c>
      <c r="G8" s="104"/>
      <c r="H8" s="104"/>
      <c r="I8" s="104"/>
      <c r="J8" s="289">
        <f>Dimensionamiento!N6</f>
        <v>20</v>
      </c>
      <c r="K8" s="290" t="s">
        <v>84</v>
      </c>
    </row>
    <row r="9" spans="2:17">
      <c r="B9" s="630" t="s">
        <v>474</v>
      </c>
      <c r="C9" s="631">
        <f>Dimensionamiento!C11</f>
        <v>42.5</v>
      </c>
      <c r="D9" s="632" t="s">
        <v>5</v>
      </c>
    </row>
    <row r="10" spans="2:17" ht="15" thickBot="1"/>
    <row r="11" spans="2:17">
      <c r="G11" s="680" t="s">
        <v>476</v>
      </c>
      <c r="H11" s="681"/>
      <c r="I11" s="681"/>
      <c r="J11" s="681"/>
      <c r="K11" s="682"/>
      <c r="M11" s="680" t="s">
        <v>480</v>
      </c>
      <c r="N11" s="690"/>
      <c r="O11" s="690"/>
      <c r="P11" s="690"/>
      <c r="Q11" s="691"/>
    </row>
    <row r="12" spans="2:17">
      <c r="G12" s="677" t="str">
        <f>Dimensionamiento!H13</f>
        <v>Rotura dúctil. No se necesita As2 (cuantía mínima).</v>
      </c>
      <c r="H12" s="672"/>
      <c r="I12" s="672"/>
      <c r="J12" s="672"/>
      <c r="K12" s="673"/>
      <c r="M12" s="677" t="s">
        <v>481</v>
      </c>
      <c r="N12" s="672"/>
      <c r="O12" s="672"/>
      <c r="P12" s="672"/>
      <c r="Q12" s="673"/>
    </row>
    <row r="13" spans="2:17" ht="15" thickBot="1">
      <c r="G13" s="678" t="str">
        <f>Dimensionamiento!H14</f>
        <v xml:space="preserve"> Cuantía mínima de As2.</v>
      </c>
      <c r="H13" s="679"/>
      <c r="I13" s="679"/>
      <c r="J13" s="679"/>
      <c r="K13" s="697"/>
      <c r="M13" s="694" t="str">
        <f>Fisuración!H17</f>
        <v>Cumple</v>
      </c>
      <c r="N13" s="695"/>
      <c r="O13" s="695"/>
      <c r="P13" s="695"/>
      <c r="Q13" s="696"/>
    </row>
    <row r="14" spans="2:17" ht="15" thickBot="1">
      <c r="G14" s="698" t="str">
        <f>Dimensionamiento!F36</f>
        <v>¿Modificar sección? (dominio 2)</v>
      </c>
      <c r="H14" s="699"/>
      <c r="I14" s="700"/>
      <c r="J14" s="699" t="str">
        <f>Dimensionamiento!J36</f>
        <v>(¿bajar el canto?)</v>
      </c>
      <c r="K14" s="700"/>
      <c r="M14" s="647"/>
      <c r="N14" s="536"/>
      <c r="O14" s="536"/>
      <c r="P14" s="536"/>
      <c r="Q14" s="648"/>
    </row>
    <row r="15" spans="2:17" ht="15" thickBot="1">
      <c r="M15" s="677" t="s">
        <v>482</v>
      </c>
      <c r="N15" s="672"/>
      <c r="O15" s="672"/>
      <c r="P15" s="672"/>
      <c r="Q15" s="673"/>
    </row>
    <row r="16" spans="2:17">
      <c r="G16" s="680" t="s">
        <v>477</v>
      </c>
      <c r="H16" s="681"/>
      <c r="I16" s="681"/>
      <c r="J16" s="681"/>
      <c r="K16" s="682"/>
      <c r="M16" s="694" t="str">
        <f>Fisuración!O22</f>
        <v>Cumple</v>
      </c>
      <c r="N16" s="695"/>
      <c r="O16" s="695"/>
      <c r="P16" s="695"/>
      <c r="Q16" s="696"/>
    </row>
    <row r="17" spans="7:17" ht="15.6">
      <c r="G17" s="637"/>
      <c r="H17" s="638" t="s">
        <v>546</v>
      </c>
      <c r="I17" s="672" t="str">
        <f>Dimensionamiento!P26</f>
        <v>No cumple. Necesita Aα.</v>
      </c>
      <c r="J17" s="672"/>
      <c r="K17" s="673"/>
      <c r="M17" s="637"/>
      <c r="N17" s="223"/>
      <c r="O17" s="223"/>
      <c r="P17" s="223"/>
      <c r="Q17" s="649"/>
    </row>
    <row r="18" spans="7:17">
      <c r="G18" s="639" t="s">
        <v>478</v>
      </c>
      <c r="H18" s="537">
        <f>IF(Dimensionamiento!O27&lt;2,Dimensionamiento!P39,Dimensionamiento!O46)</f>
        <v>30</v>
      </c>
      <c r="I18" s="640" t="s">
        <v>479</v>
      </c>
      <c r="J18" s="641">
        <f>IF(Dimensionamiento!O27&lt;2,Dimensionamiento!P40,Dimensionamiento!P47)</f>
        <v>20</v>
      </c>
      <c r="K18" s="642" t="str">
        <f>IF(Dimensionamiento!O27&lt;2,Dimensionamiento!R39,Dimensionamiento!R47)</f>
        <v>Cumple</v>
      </c>
      <c r="M18" s="677" t="s">
        <v>596</v>
      </c>
      <c r="N18" s="672"/>
      <c r="O18" s="672"/>
      <c r="P18" s="672"/>
      <c r="Q18" s="673"/>
    </row>
    <row r="19" spans="7:17" ht="16.2" thickBot="1">
      <c r="G19" s="683" t="str">
        <f>IF(Dimensionamiento!O27&lt;2,Dimensionamiento!Q42,Dimensionamiento!Q49)</f>
        <v>Cumple</v>
      </c>
      <c r="H19" s="684"/>
      <c r="I19" s="684"/>
      <c r="J19" s="684"/>
      <c r="K19" s="685"/>
      <c r="M19" s="677" t="s">
        <v>598</v>
      </c>
      <c r="N19" s="672"/>
      <c r="O19" s="672"/>
      <c r="P19" s="650" t="s">
        <v>597</v>
      </c>
      <c r="Q19" s="651" t="str">
        <f>Fisuración!I24</f>
        <v>Cumple</v>
      </c>
    </row>
    <row r="20" spans="7:17" ht="16.2" thickBot="1">
      <c r="M20" s="678" t="s">
        <v>599</v>
      </c>
      <c r="N20" s="679"/>
      <c r="O20" s="679"/>
      <c r="P20" s="652" t="s">
        <v>600</v>
      </c>
      <c r="Q20" s="653" t="str">
        <f>Fisuración!I27</f>
        <v>Cumple</v>
      </c>
    </row>
    <row r="21" spans="7:17" ht="15" thickBot="1"/>
    <row r="22" spans="7:17" ht="15" thickBot="1">
      <c r="G22" s="689" t="s">
        <v>486</v>
      </c>
      <c r="H22" s="690"/>
      <c r="I22" s="690"/>
      <c r="J22" s="690"/>
      <c r="K22" s="691"/>
    </row>
    <row r="23" spans="7:17" ht="15" thickBot="1">
      <c r="G23" s="643" t="s">
        <v>3</v>
      </c>
      <c r="H23" s="644">
        <f>Dimensionamiento!Q3</f>
        <v>250</v>
      </c>
      <c r="I23" s="645" t="s">
        <v>487</v>
      </c>
      <c r="J23" s="644">
        <f>Dimensionamiento!Q4</f>
        <v>220</v>
      </c>
      <c r="K23" s="646" t="str">
        <f>Dimensionamiento!Q5</f>
        <v>Cumple</v>
      </c>
      <c r="M23" s="680" t="s">
        <v>485</v>
      </c>
      <c r="N23" s="681"/>
      <c r="O23" s="681"/>
      <c r="P23" s="681"/>
      <c r="Q23" s="682"/>
    </row>
    <row r="24" spans="7:17" ht="16.2" thickBot="1">
      <c r="M24" s="643" t="s">
        <v>483</v>
      </c>
      <c r="N24" s="656">
        <f>Flecha!F8</f>
        <v>1.9199999999999998E-2</v>
      </c>
      <c r="O24" s="645" t="s">
        <v>484</v>
      </c>
      <c r="P24" s="657">
        <f>Flecha!M22</f>
        <v>1.293189185542294E-2</v>
      </c>
      <c r="Q24" s="658" t="str">
        <f>Flecha!O22</f>
        <v>Cumple</v>
      </c>
    </row>
    <row r="25" spans="7:17" ht="15" thickBot="1"/>
    <row r="26" spans="7:17">
      <c r="G26" s="674" t="s">
        <v>522</v>
      </c>
      <c r="H26" s="675"/>
      <c r="I26" s="675"/>
      <c r="J26" s="675"/>
      <c r="K26" s="676"/>
    </row>
    <row r="27" spans="7:17" ht="15" thickBot="1">
      <c r="G27" s="643" t="s">
        <v>523</v>
      </c>
      <c r="H27" s="644">
        <f>Dimensionamiento!H68</f>
        <v>20</v>
      </c>
      <c r="I27" s="645" t="s">
        <v>487</v>
      </c>
      <c r="J27" s="654">
        <f>Dimensionamiento!H69</f>
        <v>30</v>
      </c>
      <c r="K27" s="655" t="str">
        <f>Dimensionamiento!J68</f>
        <v>Cumple</v>
      </c>
    </row>
    <row r="28" spans="7:17" ht="18.600000000000001">
      <c r="M28" s="686" t="s">
        <v>606</v>
      </c>
      <c r="N28" s="659" t="s">
        <v>607</v>
      </c>
      <c r="O28" s="660">
        <f>MAX(Dimensionamiento!C48:C50)</f>
        <v>20</v>
      </c>
      <c r="P28" s="661" t="s">
        <v>9</v>
      </c>
      <c r="Q28" s="662" t="str">
        <f>IF(Dimensionamiento!C37&gt;O28,"Cumple","No cumple")</f>
        <v>Cumple</v>
      </c>
    </row>
    <row r="29" spans="7:17" ht="16.2" thickBot="1">
      <c r="M29" s="687"/>
      <c r="N29" s="663" t="s">
        <v>608</v>
      </c>
      <c r="O29" s="664">
        <f>1.25*Dimensionamiento!C36</f>
        <v>18.75</v>
      </c>
      <c r="P29" s="664" t="s">
        <v>9</v>
      </c>
      <c r="Q29" s="653" t="str">
        <f>IF(Dimensionamiento!C37&gt;O29,"Cumple","No cumple")</f>
        <v>Cumple</v>
      </c>
    </row>
    <row r="30" spans="7:17">
      <c r="G30" s="674" t="s">
        <v>522</v>
      </c>
      <c r="H30" s="675"/>
      <c r="I30" s="675"/>
      <c r="J30" s="675"/>
      <c r="K30" s="676"/>
    </row>
    <row r="31" spans="7:17" ht="15" thickBot="1">
      <c r="G31" s="643" t="s">
        <v>523</v>
      </c>
      <c r="H31" s="644">
        <f>Dimensionamiento!H71</f>
        <v>20</v>
      </c>
      <c r="I31" s="645" t="s">
        <v>487</v>
      </c>
      <c r="J31" s="654">
        <f>Dimensionamiento!H72</f>
        <v>150</v>
      </c>
      <c r="K31" s="655" t="str">
        <f>Dimensionamiento!J71</f>
        <v>Cumple</v>
      </c>
    </row>
  </sheetData>
  <mergeCells count="23">
    <mergeCell ref="G3:J3"/>
    <mergeCell ref="M18:Q18"/>
    <mergeCell ref="G26:K26"/>
    <mergeCell ref="G22:K22"/>
    <mergeCell ref="H4:I4"/>
    <mergeCell ref="M11:Q11"/>
    <mergeCell ref="M12:Q12"/>
    <mergeCell ref="M13:Q13"/>
    <mergeCell ref="M15:Q15"/>
    <mergeCell ref="M16:Q16"/>
    <mergeCell ref="G16:K16"/>
    <mergeCell ref="G11:K11"/>
    <mergeCell ref="G12:K12"/>
    <mergeCell ref="G13:K13"/>
    <mergeCell ref="G14:I14"/>
    <mergeCell ref="J14:K14"/>
    <mergeCell ref="I17:K17"/>
    <mergeCell ref="G30:K30"/>
    <mergeCell ref="M19:O19"/>
    <mergeCell ref="M20:O20"/>
    <mergeCell ref="M23:Q23"/>
    <mergeCell ref="G19:K19"/>
    <mergeCell ref="M28:M29"/>
  </mergeCells>
  <conditionalFormatting sqref="K31 K27 K23 K18 G19:K19 M16:Q16 M13:Q13 Q19:Q20 Q24 Q28:Q29">
    <cfRule type="containsText" dxfId="10" priority="1" operator="containsText" text="No cumple">
      <formula>NOT(ISERROR(SEARCH("No cumple",G13)))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opLeftCell="G1" zoomScale="80" zoomScaleNormal="80" workbookViewId="0">
      <selection activeCell="N17" sqref="N17"/>
    </sheetView>
  </sheetViews>
  <sheetFormatPr baseColWidth="10" defaultRowHeight="14.4"/>
  <cols>
    <col min="1" max="1" width="14.33203125" customWidth="1"/>
    <col min="6" max="6" width="16.88671875" customWidth="1"/>
    <col min="7" max="7" width="15.44140625" customWidth="1"/>
    <col min="8" max="8" width="13" customWidth="1"/>
    <col min="9" max="9" width="15.109375" customWidth="1"/>
    <col min="11" max="11" width="13.6640625" customWidth="1"/>
    <col min="12" max="12" width="19" customWidth="1"/>
    <col min="13" max="13" width="24.6640625" customWidth="1"/>
    <col min="14" max="14" width="12.6640625" customWidth="1"/>
    <col min="15" max="15" width="13" customWidth="1"/>
  </cols>
  <sheetData>
    <row r="1" spans="1:22">
      <c r="A1" t="s">
        <v>249</v>
      </c>
    </row>
    <row r="2" spans="1:22" ht="15" thickBot="1"/>
    <row r="3" spans="1:22" ht="18.600000000000001" thickBot="1">
      <c r="A3" s="239" t="s">
        <v>251</v>
      </c>
      <c r="B3" s="616">
        <f>1500</f>
        <v>1500</v>
      </c>
      <c r="C3" s="270" t="s">
        <v>109</v>
      </c>
      <c r="D3" s="161"/>
      <c r="E3" s="109"/>
      <c r="F3" s="109"/>
      <c r="G3" s="981" t="s">
        <v>426</v>
      </c>
      <c r="H3" s="982"/>
      <c r="I3" s="618">
        <f>SUM(F12:L12,F20:H20,F27:H27,G40,G41,F34:L34)</f>
        <v>127.9345423796354</v>
      </c>
      <c r="J3" s="585" t="s">
        <v>264</v>
      </c>
      <c r="K3" s="109"/>
      <c r="L3" s="140"/>
      <c r="M3" s="109"/>
      <c r="N3" s="981" t="s">
        <v>427</v>
      </c>
      <c r="O3" s="982"/>
      <c r="P3" s="618">
        <f>IF(Condiciones!J4&lt;2,Económicos!P10*Económicos!P12+Económicos!Q10*Económicos!Q12+Económicos!R10*Económicos!R12+Económicos!S10*Económicos!S12+Económicos!T10*Económicos!T12+Económicos!U10*Económicos!U12+Económicos!V10*Económicos!V12,Económicos!P10*Económicos!P11+Económicos!Q10*Económicos!Q11+Económicos!R10*Económicos!R11+Económicos!S10*Económicos!S11+Económicos!T10*Económicos!T11+Económicos!U10*Económicos!U11+Económicos!V10*Económicos!V11)*Dosificación!C10/Dosificación!C4</f>
        <v>1.3131250000000001</v>
      </c>
      <c r="Q3" s="585" t="s">
        <v>602</v>
      </c>
      <c r="R3" s="109"/>
      <c r="S3" s="109"/>
      <c r="T3" s="109"/>
      <c r="U3" s="109"/>
      <c r="V3" s="140"/>
    </row>
    <row r="4" spans="1:22" ht="16.2">
      <c r="A4" s="240" t="s">
        <v>252</v>
      </c>
      <c r="B4" s="363">
        <f>2700</f>
        <v>2700</v>
      </c>
      <c r="C4" s="271" t="s">
        <v>109</v>
      </c>
      <c r="D4" s="110"/>
      <c r="E4" s="77"/>
      <c r="F4" s="77"/>
      <c r="G4" s="77"/>
      <c r="H4" s="77"/>
      <c r="I4" s="77"/>
      <c r="J4" s="77"/>
      <c r="K4" s="77"/>
      <c r="L4" s="84"/>
      <c r="M4" s="77"/>
      <c r="N4" s="77"/>
      <c r="O4" s="77"/>
      <c r="P4" s="77"/>
      <c r="Q4" s="77"/>
      <c r="R4" s="77"/>
      <c r="S4" s="77"/>
      <c r="T4" s="77"/>
      <c r="U4" s="77"/>
      <c r="V4" s="84"/>
    </row>
    <row r="5" spans="1:22" ht="15" thickBot="1">
      <c r="A5" s="241" t="s">
        <v>255</v>
      </c>
      <c r="B5" s="617">
        <f>2400</f>
        <v>2400</v>
      </c>
      <c r="C5" s="272" t="s">
        <v>253</v>
      </c>
      <c r="D5" s="110"/>
      <c r="E5" s="77"/>
      <c r="F5" s="77"/>
      <c r="G5" s="77"/>
      <c r="H5" s="77"/>
      <c r="I5" s="77"/>
      <c r="J5" s="77"/>
      <c r="K5" s="77"/>
      <c r="L5" s="84"/>
      <c r="M5" s="77"/>
      <c r="N5" s="77"/>
      <c r="O5" s="77"/>
      <c r="P5" s="77"/>
      <c r="Q5" s="77"/>
      <c r="R5" s="77"/>
      <c r="S5" s="77"/>
      <c r="T5" s="77"/>
      <c r="U5" s="77"/>
      <c r="V5" s="84"/>
    </row>
    <row r="6" spans="1:22">
      <c r="D6" s="110"/>
      <c r="E6" s="77"/>
      <c r="F6" s="77"/>
      <c r="G6" s="77"/>
      <c r="H6" s="77"/>
      <c r="I6" s="77"/>
      <c r="J6" s="77"/>
      <c r="K6" s="77"/>
      <c r="L6" s="84"/>
      <c r="M6" s="77"/>
      <c r="N6" s="77"/>
      <c r="O6" s="77"/>
      <c r="P6" s="77"/>
      <c r="Q6" s="77"/>
      <c r="R6" s="77"/>
      <c r="S6" s="77"/>
      <c r="T6" s="77"/>
      <c r="U6" s="77"/>
      <c r="V6" s="84"/>
    </row>
    <row r="7" spans="1:22" ht="15.6">
      <c r="D7" s="110"/>
      <c r="E7" s="77"/>
      <c r="F7" s="77"/>
      <c r="G7" s="77"/>
      <c r="H7" s="77"/>
      <c r="I7" s="77"/>
      <c r="J7" s="77"/>
      <c r="K7" s="77"/>
      <c r="L7" s="84"/>
      <c r="M7" s="77"/>
      <c r="N7" s="985" t="s">
        <v>428</v>
      </c>
      <c r="O7" s="985"/>
      <c r="P7" s="77"/>
      <c r="Q7" s="77"/>
      <c r="R7" s="77"/>
      <c r="S7" s="77"/>
      <c r="T7" s="77"/>
      <c r="U7" s="77"/>
      <c r="V7" s="84"/>
    </row>
    <row r="8" spans="1:22" ht="15" thickBot="1">
      <c r="D8" s="110"/>
      <c r="E8" s="77"/>
      <c r="F8" s="77"/>
      <c r="G8" s="77"/>
      <c r="H8" s="77"/>
      <c r="I8" s="77"/>
      <c r="J8" s="77"/>
      <c r="K8" s="77"/>
      <c r="L8" s="84"/>
      <c r="M8" s="77"/>
      <c r="N8" s="77"/>
      <c r="O8" s="77"/>
      <c r="P8" s="77"/>
      <c r="Q8" s="77"/>
      <c r="R8" s="77"/>
      <c r="S8" s="77"/>
      <c r="T8" s="77"/>
      <c r="U8" s="77"/>
      <c r="V8" s="84"/>
    </row>
    <row r="9" spans="1:22" ht="15" thickBot="1">
      <c r="D9" s="986" t="s">
        <v>128</v>
      </c>
      <c r="E9" s="987"/>
      <c r="F9" s="102" t="s">
        <v>133</v>
      </c>
      <c r="G9" s="72" t="s">
        <v>134</v>
      </c>
      <c r="H9" s="72" t="s">
        <v>135</v>
      </c>
      <c r="I9" s="72" t="s">
        <v>129</v>
      </c>
      <c r="J9" s="72" t="s">
        <v>130</v>
      </c>
      <c r="K9" s="72" t="s">
        <v>131</v>
      </c>
      <c r="L9" s="273" t="s">
        <v>132</v>
      </c>
      <c r="M9" s="77"/>
      <c r="N9" s="983" t="s">
        <v>128</v>
      </c>
      <c r="O9" s="984"/>
      <c r="P9" s="275" t="s">
        <v>133</v>
      </c>
      <c r="Q9" s="276" t="s">
        <v>134</v>
      </c>
      <c r="R9" s="276" t="s">
        <v>135</v>
      </c>
      <c r="S9" s="276" t="s">
        <v>129</v>
      </c>
      <c r="T9" s="276" t="s">
        <v>130</v>
      </c>
      <c r="U9" s="276" t="s">
        <v>131</v>
      </c>
      <c r="V9" s="277" t="s">
        <v>132</v>
      </c>
    </row>
    <row r="10" spans="1:22" ht="15" thickBot="1">
      <c r="D10" s="986" t="s">
        <v>115</v>
      </c>
      <c r="E10" s="987"/>
      <c r="F10" s="124">
        <f>Medioambientales!K8</f>
        <v>264.28062324187476</v>
      </c>
      <c r="G10" s="99">
        <f>Medioambientales!L8</f>
        <v>0</v>
      </c>
      <c r="H10" s="99">
        <f>Medioambientales!M8</f>
        <v>0</v>
      </c>
      <c r="I10" s="99">
        <f>Medioambientales!N8</f>
        <v>0</v>
      </c>
      <c r="J10" s="99">
        <f>Medioambientales!O8</f>
        <v>0</v>
      </c>
      <c r="K10" s="99">
        <f>Medioambientales!P8</f>
        <v>0</v>
      </c>
      <c r="L10" s="274">
        <f>Medioambientales!Q8</f>
        <v>0</v>
      </c>
      <c r="M10" s="77"/>
      <c r="N10" s="629" t="s">
        <v>637</v>
      </c>
      <c r="O10" s="629" t="s">
        <v>638</v>
      </c>
      <c r="P10" s="453">
        <f>Dosificación!K4</f>
        <v>1</v>
      </c>
      <c r="Q10" s="453">
        <f>Dosificación!K5</f>
        <v>0</v>
      </c>
      <c r="R10" s="453">
        <f>Dosificación!K6</f>
        <v>0</v>
      </c>
      <c r="S10" s="453">
        <f>Dosificación!K7</f>
        <v>0</v>
      </c>
      <c r="T10" s="453">
        <f>Dosificación!K8</f>
        <v>0</v>
      </c>
      <c r="U10" s="453">
        <f>Dosificación!K9</f>
        <v>0</v>
      </c>
      <c r="V10" s="623">
        <f>Dosificación!K10</f>
        <v>0</v>
      </c>
    </row>
    <row r="11" spans="1:22" ht="15" thickBot="1">
      <c r="D11" s="986" t="s">
        <v>250</v>
      </c>
      <c r="E11" s="988"/>
      <c r="F11" s="611">
        <f>129/1000</f>
        <v>0.129</v>
      </c>
      <c r="G11" s="611">
        <f>118.4/1000</f>
        <v>0.11840000000000001</v>
      </c>
      <c r="H11" s="611">
        <f>105/1000</f>
        <v>0.105</v>
      </c>
      <c r="I11" s="611">
        <f>110.4/1000</f>
        <v>0.11040000000000001</v>
      </c>
      <c r="J11" s="611">
        <f>96.27/1000</f>
        <v>9.6269999999999994E-2</v>
      </c>
      <c r="K11" s="611">
        <f>96.22/1000</f>
        <v>9.622E-2</v>
      </c>
      <c r="L11" s="619">
        <f>125.1/1000</f>
        <v>0.12509999999999999</v>
      </c>
      <c r="M11" s="77"/>
      <c r="N11" s="980" t="s">
        <v>429</v>
      </c>
      <c r="O11" s="980"/>
      <c r="P11" s="453">
        <v>25.69</v>
      </c>
      <c r="Q11" s="453">
        <v>25.69</v>
      </c>
      <c r="R11" s="453">
        <v>24.45</v>
      </c>
      <c r="S11" s="453">
        <v>24.92</v>
      </c>
      <c r="T11" s="453">
        <v>24.92</v>
      </c>
      <c r="U11" s="453">
        <v>24.02</v>
      </c>
      <c r="V11" s="623">
        <v>25.04</v>
      </c>
    </row>
    <row r="12" spans="1:22" ht="15" thickBot="1">
      <c r="D12" s="698" t="s">
        <v>254</v>
      </c>
      <c r="E12" s="699"/>
      <c r="F12" s="611">
        <f>F11*F10</f>
        <v>34.092200398201847</v>
      </c>
      <c r="G12" s="611">
        <f t="shared" ref="G12:L12" si="0">G11*G10</f>
        <v>0</v>
      </c>
      <c r="H12" s="611">
        <f t="shared" si="0"/>
        <v>0</v>
      </c>
      <c r="I12" s="611">
        <f t="shared" si="0"/>
        <v>0</v>
      </c>
      <c r="J12" s="611">
        <f t="shared" si="0"/>
        <v>0</v>
      </c>
      <c r="K12" s="611">
        <f t="shared" si="0"/>
        <v>0</v>
      </c>
      <c r="L12" s="619">
        <f t="shared" si="0"/>
        <v>0</v>
      </c>
      <c r="M12" s="77"/>
      <c r="N12" s="980" t="s">
        <v>430</v>
      </c>
      <c r="O12" s="980"/>
      <c r="P12" s="453">
        <v>9.5500000000000007</v>
      </c>
      <c r="Q12" s="453">
        <v>9.5500000000000007</v>
      </c>
      <c r="R12" s="453">
        <v>9.5500000000000007</v>
      </c>
      <c r="S12" s="453">
        <v>9.5500000000000007</v>
      </c>
      <c r="T12" s="453">
        <v>9.5500000000000007</v>
      </c>
      <c r="U12" s="453">
        <v>9.5500000000000007</v>
      </c>
      <c r="V12" s="623">
        <v>9.5500000000000007</v>
      </c>
    </row>
    <row r="13" spans="1:22">
      <c r="D13" s="110"/>
      <c r="E13" s="77"/>
      <c r="F13" s="77"/>
      <c r="G13" s="77"/>
      <c r="H13" s="77"/>
      <c r="I13" s="77"/>
      <c r="J13" s="77"/>
      <c r="K13" s="77"/>
      <c r="L13" s="84"/>
      <c r="M13" s="77"/>
      <c r="N13" s="77"/>
      <c r="O13" s="77"/>
      <c r="P13" s="77"/>
      <c r="Q13" s="77"/>
      <c r="R13" s="77"/>
      <c r="S13" s="77"/>
      <c r="T13" s="77"/>
      <c r="U13" s="77"/>
      <c r="V13" s="84"/>
    </row>
    <row r="14" spans="1:22" ht="15" thickBot="1">
      <c r="D14" s="110"/>
      <c r="E14" s="77"/>
      <c r="F14" s="77"/>
      <c r="G14" s="77"/>
      <c r="H14" s="77"/>
      <c r="I14" s="77"/>
      <c r="J14" s="77"/>
      <c r="K14" s="77"/>
      <c r="L14" s="84"/>
      <c r="M14" s="85"/>
      <c r="N14" s="85"/>
      <c r="O14" s="85"/>
      <c r="P14" s="85"/>
      <c r="Q14" s="85"/>
      <c r="R14" s="85"/>
      <c r="S14" s="85"/>
      <c r="T14" s="85"/>
      <c r="U14" s="85"/>
      <c r="V14" s="86"/>
    </row>
    <row r="15" spans="1:22">
      <c r="D15" s="110"/>
      <c r="E15" s="77"/>
      <c r="F15" s="77"/>
      <c r="G15" s="77"/>
      <c r="H15" s="77"/>
      <c r="I15" s="77"/>
      <c r="J15" s="77"/>
      <c r="K15" s="77"/>
      <c r="L15" s="84"/>
    </row>
    <row r="16" spans="1:22" ht="16.2" customHeight="1" thickBot="1">
      <c r="D16" s="110"/>
      <c r="E16" s="77"/>
      <c r="F16" s="77"/>
      <c r="G16" s="77"/>
      <c r="H16" s="77"/>
      <c r="I16" s="77"/>
      <c r="J16" s="77"/>
      <c r="K16" s="77"/>
      <c r="L16" s="84"/>
    </row>
    <row r="17" spans="4:12" ht="15" thickBot="1">
      <c r="D17" s="986" t="s">
        <v>136</v>
      </c>
      <c r="E17" s="987"/>
      <c r="F17" s="103" t="s">
        <v>198</v>
      </c>
      <c r="G17" s="73" t="s">
        <v>199</v>
      </c>
      <c r="H17" s="73" t="s">
        <v>197</v>
      </c>
      <c r="I17" s="77"/>
      <c r="J17" s="77"/>
      <c r="K17" s="77"/>
      <c r="L17" s="84"/>
    </row>
    <row r="18" spans="4:12" ht="15" thickBot="1">
      <c r="D18" s="986" t="s">
        <v>115</v>
      </c>
      <c r="E18" s="987"/>
      <c r="F18" s="124">
        <f>Medioambientales!K19</f>
        <v>772.51259101471089</v>
      </c>
      <c r="G18" s="99">
        <f>Medioambientales!L19</f>
        <v>481.12626282495154</v>
      </c>
      <c r="H18" s="99">
        <f>Medioambientales!M19</f>
        <v>0</v>
      </c>
      <c r="I18" s="77"/>
      <c r="J18" s="77"/>
      <c r="K18" s="77"/>
      <c r="L18" s="84"/>
    </row>
    <row r="19" spans="4:12" ht="15" thickBot="1">
      <c r="D19" s="986" t="s">
        <v>250</v>
      </c>
      <c r="E19" s="988"/>
      <c r="F19" s="453">
        <f>7.2/B3</f>
        <v>4.8000000000000004E-3</v>
      </c>
      <c r="G19" s="453">
        <f>7.05/B4</f>
        <v>2.6111111111111109E-3</v>
      </c>
      <c r="H19" s="453">
        <f>0.4</f>
        <v>0.4</v>
      </c>
      <c r="I19" s="77"/>
      <c r="J19" s="77"/>
      <c r="K19" s="77"/>
      <c r="L19" s="84"/>
    </row>
    <row r="20" spans="4:12" ht="15" thickBot="1">
      <c r="D20" s="698" t="s">
        <v>254</v>
      </c>
      <c r="E20" s="699"/>
      <c r="F20" s="620">
        <f>F18*F19</f>
        <v>3.7080604368706127</v>
      </c>
      <c r="G20" s="620">
        <f>G18*G19</f>
        <v>1.2562741307095957</v>
      </c>
      <c r="H20" s="453">
        <f>H18*H19</f>
        <v>0</v>
      </c>
      <c r="I20" s="77"/>
      <c r="J20" s="77"/>
      <c r="K20" s="77"/>
      <c r="L20" s="84"/>
    </row>
    <row r="21" spans="4:12">
      <c r="D21" s="110"/>
      <c r="E21" s="77"/>
      <c r="F21" s="77"/>
      <c r="G21" s="77"/>
      <c r="H21" s="77"/>
      <c r="I21" s="77"/>
      <c r="J21" s="77"/>
      <c r="K21" s="77"/>
      <c r="L21" s="84"/>
    </row>
    <row r="22" spans="4:12">
      <c r="D22" s="110"/>
      <c r="E22" s="77"/>
      <c r="F22" s="77"/>
      <c r="G22" s="77"/>
      <c r="H22" s="77"/>
      <c r="I22" s="77"/>
      <c r="J22" s="77"/>
      <c r="K22" s="77"/>
      <c r="L22" s="84"/>
    </row>
    <row r="23" spans="4:12" ht="15" thickBot="1">
      <c r="D23" s="110"/>
      <c r="E23" s="77"/>
      <c r="F23" s="77"/>
      <c r="G23" s="77"/>
      <c r="H23" s="77"/>
      <c r="I23" s="77"/>
      <c r="J23" s="77"/>
      <c r="K23" s="77"/>
      <c r="L23" s="84"/>
    </row>
    <row r="24" spans="4:12" ht="15" thickBot="1">
      <c r="D24" s="991" t="s">
        <v>144</v>
      </c>
      <c r="E24" s="992"/>
      <c r="F24" s="102" t="s">
        <v>141</v>
      </c>
      <c r="G24" s="72" t="s">
        <v>205</v>
      </c>
      <c r="H24" s="73" t="s">
        <v>258</v>
      </c>
      <c r="I24" s="77"/>
      <c r="J24" s="77"/>
      <c r="K24" s="77"/>
      <c r="L24" s="84"/>
    </row>
    <row r="25" spans="4:12" ht="15" thickBot="1">
      <c r="D25" s="986" t="s">
        <v>257</v>
      </c>
      <c r="E25" s="987"/>
      <c r="F25" s="209">
        <f>Medioambientales!K30</f>
        <v>107.06753454414414</v>
      </c>
      <c r="G25" s="99">
        <f>Medioambientales!L30</f>
        <v>3.2526845937461508</v>
      </c>
      <c r="H25" s="100">
        <f>Medioambientales!C7*1000</f>
        <v>935.99361772319355</v>
      </c>
      <c r="I25" s="77"/>
      <c r="J25" s="77"/>
      <c r="K25" s="77"/>
      <c r="L25" s="84"/>
    </row>
    <row r="26" spans="4:12" ht="15" thickBot="1">
      <c r="D26" s="986" t="s">
        <v>256</v>
      </c>
      <c r="E26" s="988"/>
      <c r="F26" s="453">
        <f>1/1000</f>
        <v>1E-3</v>
      </c>
      <c r="G26" s="453">
        <v>1.3</v>
      </c>
      <c r="H26" s="453">
        <f>F26</f>
        <v>1E-3</v>
      </c>
      <c r="I26" s="77"/>
      <c r="J26" s="77"/>
      <c r="K26" s="77"/>
      <c r="L26" s="84"/>
    </row>
    <row r="27" spans="4:12" ht="15" thickBot="1">
      <c r="D27" s="698" t="s">
        <v>254</v>
      </c>
      <c r="E27" s="699"/>
      <c r="F27" s="453">
        <f>F25*F26</f>
        <v>0.10706753454414414</v>
      </c>
      <c r="G27" s="453">
        <f>G25*G26</f>
        <v>4.2284899718699966</v>
      </c>
      <c r="H27" s="453">
        <f>H25*H26</f>
        <v>0.93599361772319356</v>
      </c>
      <c r="I27" s="77"/>
      <c r="J27" s="77"/>
      <c r="K27" s="77"/>
      <c r="L27" s="84"/>
    </row>
    <row r="28" spans="4:12">
      <c r="D28" s="110"/>
      <c r="E28" s="77"/>
      <c r="F28" s="77"/>
      <c r="G28" s="77"/>
      <c r="H28" s="77"/>
      <c r="I28" s="77"/>
      <c r="J28" s="77"/>
      <c r="K28" s="77"/>
      <c r="L28" s="84"/>
    </row>
    <row r="29" spans="4:12">
      <c r="D29" s="110"/>
      <c r="E29" s="77"/>
      <c r="F29" s="77"/>
      <c r="G29" s="77"/>
      <c r="H29" s="77"/>
      <c r="I29" s="77"/>
      <c r="J29" s="77"/>
      <c r="K29" s="77"/>
      <c r="L29" s="84"/>
    </row>
    <row r="30" spans="4:12" ht="15" thickBot="1">
      <c r="D30" s="110"/>
      <c r="E30" s="77"/>
      <c r="F30" s="77"/>
      <c r="G30" s="77"/>
      <c r="H30" s="77"/>
      <c r="I30" s="77"/>
      <c r="J30" s="77"/>
      <c r="K30" s="77"/>
      <c r="L30" s="172" t="s">
        <v>513</v>
      </c>
    </row>
    <row r="31" spans="4:12" ht="16.8" thickBot="1">
      <c r="D31" s="986" t="s">
        <v>550</v>
      </c>
      <c r="E31" s="988"/>
      <c r="F31" s="210" t="s">
        <v>354</v>
      </c>
      <c r="G31" s="212" t="s">
        <v>208</v>
      </c>
      <c r="H31" s="213" t="s">
        <v>209</v>
      </c>
      <c r="I31" s="210" t="s">
        <v>355</v>
      </c>
      <c r="J31" s="328" t="s">
        <v>472</v>
      </c>
      <c r="K31" s="330" t="s">
        <v>512</v>
      </c>
      <c r="L31" s="331" t="s">
        <v>514</v>
      </c>
    </row>
    <row r="32" spans="4:12" ht="15" thickBot="1">
      <c r="D32" s="986"/>
      <c r="E32" s="988"/>
      <c r="F32" s="211">
        <f>Medioambientales!K41</f>
        <v>0</v>
      </c>
      <c r="G32" s="211">
        <f>Medioambientales!L41</f>
        <v>0</v>
      </c>
      <c r="H32" s="211">
        <f>Medioambientales!M41</f>
        <v>0</v>
      </c>
      <c r="I32" s="211">
        <f>Medioambientales!N41</f>
        <v>0.6875</v>
      </c>
      <c r="J32" s="329">
        <f>1</f>
        <v>1</v>
      </c>
      <c r="K32" s="99">
        <f>Dosificación!C9</f>
        <v>0.67764262369711481</v>
      </c>
      <c r="L32" s="332">
        <f>IF(Condiciones!J10&lt;15,0,Condiciones!J10-15)</f>
        <v>0</v>
      </c>
    </row>
    <row r="33" spans="4:12" ht="15" thickBot="1">
      <c r="D33" s="986" t="s">
        <v>356</v>
      </c>
      <c r="E33" s="988"/>
      <c r="F33" s="621">
        <v>8</v>
      </c>
      <c r="G33" s="621">
        <v>20.67</v>
      </c>
      <c r="H33" s="621">
        <v>14</v>
      </c>
      <c r="I33" s="621">
        <v>10</v>
      </c>
      <c r="J33" s="622">
        <f>1400/(22*8)</f>
        <v>7.9545454545454541</v>
      </c>
      <c r="K33" s="453">
        <v>9</v>
      </c>
      <c r="L33" s="623">
        <v>0.36</v>
      </c>
    </row>
    <row r="34" spans="4:12" ht="15" thickBot="1">
      <c r="D34" s="698" t="s">
        <v>262</v>
      </c>
      <c r="E34" s="699"/>
      <c r="F34" s="624">
        <f>F33*F32</f>
        <v>0</v>
      </c>
      <c r="G34" s="624">
        <f t="shared" ref="G34:J34" si="1">G33*G32</f>
        <v>0</v>
      </c>
      <c r="H34" s="624">
        <f t="shared" si="1"/>
        <v>0</v>
      </c>
      <c r="I34" s="624">
        <f t="shared" si="1"/>
        <v>6.875</v>
      </c>
      <c r="J34" s="625">
        <f t="shared" si="1"/>
        <v>7.9545454545454541</v>
      </c>
      <c r="K34" s="626">
        <f>K33*K32</f>
        <v>6.0987836132740334</v>
      </c>
      <c r="L34" s="627">
        <f>L32*L33</f>
        <v>0</v>
      </c>
    </row>
    <row r="35" spans="4:12">
      <c r="D35" s="110"/>
      <c r="E35" s="77"/>
      <c r="F35" s="77"/>
      <c r="G35" s="77"/>
      <c r="H35" s="77"/>
      <c r="I35" s="77"/>
      <c r="J35" s="77"/>
      <c r="K35" s="77"/>
      <c r="L35" s="171"/>
    </row>
    <row r="36" spans="4:12" ht="15" thickBot="1">
      <c r="D36" s="110"/>
      <c r="E36" s="77"/>
      <c r="F36" s="77"/>
      <c r="G36" s="77"/>
      <c r="H36" s="77"/>
      <c r="I36" s="77"/>
      <c r="J36" s="77"/>
      <c r="K36" s="77"/>
      <c r="L36" s="84"/>
    </row>
    <row r="37" spans="4:12" ht="18.600000000000001" thickBot="1">
      <c r="D37" s="989" t="s">
        <v>112</v>
      </c>
      <c r="E37" s="990"/>
      <c r="F37" s="101">
        <f>Medioambientales!I63</f>
        <v>77.380403977650019</v>
      </c>
      <c r="G37" s="77"/>
      <c r="H37" s="77"/>
      <c r="I37" s="77"/>
      <c r="J37" s="77"/>
      <c r="K37" s="77"/>
      <c r="L37" s="84"/>
    </row>
    <row r="38" spans="4:12" ht="15" thickBot="1">
      <c r="D38" s="110"/>
      <c r="E38" s="77"/>
      <c r="F38" s="77"/>
      <c r="G38" s="77"/>
      <c r="H38" s="77"/>
      <c r="I38" s="77"/>
      <c r="J38" s="77"/>
      <c r="K38" s="77"/>
      <c r="L38" s="84"/>
    </row>
    <row r="39" spans="4:12">
      <c r="D39" s="242" t="s">
        <v>260</v>
      </c>
      <c r="E39" s="243" t="s">
        <v>261</v>
      </c>
      <c r="F39" s="243" t="s">
        <v>115</v>
      </c>
      <c r="G39" s="244" t="s">
        <v>262</v>
      </c>
      <c r="H39" s="77"/>
      <c r="I39" s="77"/>
      <c r="J39" s="77"/>
      <c r="K39" s="77"/>
      <c r="L39" s="84"/>
    </row>
    <row r="40" spans="4:12">
      <c r="D40" s="125" t="s">
        <v>259</v>
      </c>
      <c r="E40" s="73">
        <v>0.68</v>
      </c>
      <c r="F40" s="126">
        <f>IF(Dimensionamiento!C21&lt;450,Económicos!F37,0)</f>
        <v>0</v>
      </c>
      <c r="G40" s="619">
        <f>E40*F40</f>
        <v>0</v>
      </c>
      <c r="H40" s="77"/>
      <c r="I40" s="77"/>
      <c r="J40" s="77"/>
      <c r="K40" s="77"/>
      <c r="L40" s="84"/>
    </row>
    <row r="41" spans="4:12" ht="15" thickBot="1">
      <c r="D41" s="127" t="s">
        <v>263</v>
      </c>
      <c r="E41" s="128">
        <v>0.81</v>
      </c>
      <c r="F41" s="129">
        <f>IF(Dimensionamiento!C21&gt;450,Económicos!F37,0)</f>
        <v>77.380403977650019</v>
      </c>
      <c r="G41" s="628">
        <f>E41*F41</f>
        <v>62.678127221896517</v>
      </c>
      <c r="H41" s="77"/>
      <c r="I41" s="77"/>
      <c r="J41" s="77"/>
      <c r="K41" s="77"/>
      <c r="L41" s="84"/>
    </row>
    <row r="42" spans="4:12">
      <c r="D42" s="110"/>
      <c r="E42" s="77"/>
      <c r="F42" s="77"/>
      <c r="G42" s="77"/>
      <c r="H42" s="77"/>
      <c r="I42" s="77"/>
      <c r="J42" s="77"/>
      <c r="K42" s="77"/>
      <c r="L42" s="84"/>
    </row>
    <row r="43" spans="4:12">
      <c r="D43" s="110"/>
      <c r="E43" s="77"/>
      <c r="F43" s="77"/>
      <c r="G43" s="77"/>
      <c r="H43" s="77"/>
      <c r="I43" s="77"/>
      <c r="J43" s="77"/>
      <c r="K43" s="77"/>
      <c r="L43" s="84"/>
    </row>
    <row r="44" spans="4:12">
      <c r="D44" s="110"/>
      <c r="E44" s="77"/>
      <c r="F44" s="77"/>
      <c r="G44" s="77"/>
      <c r="H44" s="77"/>
      <c r="I44" s="77"/>
      <c r="J44" s="77"/>
      <c r="K44" s="77"/>
      <c r="L44" s="84"/>
    </row>
    <row r="45" spans="4:12">
      <c r="D45" s="110"/>
      <c r="E45" s="77"/>
      <c r="F45" s="77"/>
      <c r="G45" s="77"/>
      <c r="H45" s="77"/>
      <c r="I45" s="77"/>
      <c r="J45" s="77"/>
      <c r="K45" s="77"/>
      <c r="L45" s="84"/>
    </row>
    <row r="46" spans="4:12" ht="15" thickBot="1">
      <c r="D46" s="141"/>
      <c r="E46" s="85"/>
      <c r="F46" s="85"/>
      <c r="G46" s="85"/>
      <c r="H46" s="85"/>
      <c r="I46" s="85"/>
      <c r="J46" s="85"/>
      <c r="K46" s="85"/>
      <c r="L46" s="86"/>
    </row>
  </sheetData>
  <mergeCells count="23">
    <mergeCell ref="D12:E12"/>
    <mergeCell ref="D20:E20"/>
    <mergeCell ref="D18:E18"/>
    <mergeCell ref="D24:E24"/>
    <mergeCell ref="D9:E9"/>
    <mergeCell ref="D10:E10"/>
    <mergeCell ref="D11:E11"/>
    <mergeCell ref="D25:E25"/>
    <mergeCell ref="D26:E26"/>
    <mergeCell ref="D27:E27"/>
    <mergeCell ref="D37:E37"/>
    <mergeCell ref="D17:E17"/>
    <mergeCell ref="D19:E19"/>
    <mergeCell ref="D32:E32"/>
    <mergeCell ref="D31:E31"/>
    <mergeCell ref="D33:E33"/>
    <mergeCell ref="D34:E34"/>
    <mergeCell ref="N11:O11"/>
    <mergeCell ref="N12:O12"/>
    <mergeCell ref="G3:H3"/>
    <mergeCell ref="N3:O3"/>
    <mergeCell ref="N9:O9"/>
    <mergeCell ref="N7:O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4"/>
  <sheetViews>
    <sheetView showGridLines="0" topLeftCell="B10" workbookViewId="0">
      <selection activeCell="L19" sqref="L19"/>
    </sheetView>
  </sheetViews>
  <sheetFormatPr baseColWidth="10" defaultRowHeight="14.4"/>
  <cols>
    <col min="2" max="2" width="14.109375" customWidth="1"/>
    <col min="3" max="3" width="15.33203125" customWidth="1"/>
    <col min="4" max="4" width="11.5546875" customWidth="1"/>
    <col min="5" max="5" width="9" customWidth="1"/>
    <col min="6" max="6" width="12.5546875" customWidth="1"/>
    <col min="10" max="10" width="20.77734375" customWidth="1"/>
    <col min="11" max="11" width="22.88671875" customWidth="1"/>
    <col min="12" max="12" width="23.6640625" customWidth="1"/>
    <col min="13" max="13" width="26.88671875" customWidth="1"/>
  </cols>
  <sheetData>
    <row r="3" spans="2:16" ht="18">
      <c r="B3" s="994" t="s">
        <v>380</v>
      </c>
      <c r="C3" s="995"/>
      <c r="D3" s="219" t="s">
        <v>382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</row>
    <row r="4" spans="2:16" ht="18">
      <c r="B4" s="994" t="s">
        <v>441</v>
      </c>
      <c r="C4" s="995"/>
      <c r="D4" s="222" t="s">
        <v>383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</row>
    <row r="5" spans="2:16" ht="18">
      <c r="B5" s="994" t="s">
        <v>442</v>
      </c>
      <c r="C5" s="995"/>
      <c r="D5" s="222" t="s">
        <v>443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</row>
    <row r="6" spans="2:16" ht="18">
      <c r="B6" s="994" t="s">
        <v>381</v>
      </c>
      <c r="C6" s="995"/>
      <c r="D6" s="285" t="s">
        <v>384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6"/>
    </row>
    <row r="7" spans="2:16" ht="18">
      <c r="B7" s="994" t="s">
        <v>440</v>
      </c>
      <c r="C7" s="995"/>
      <c r="D7" s="222" t="s">
        <v>444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/>
    </row>
    <row r="8" spans="2:16" ht="18">
      <c r="B8" s="994" t="s">
        <v>445</v>
      </c>
      <c r="C8" s="995"/>
      <c r="D8" s="222" t="s">
        <v>447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4"/>
    </row>
    <row r="9" spans="2:16" ht="18">
      <c r="B9" s="994" t="s">
        <v>446</v>
      </c>
      <c r="C9" s="995"/>
      <c r="D9" s="222" t="s">
        <v>448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4"/>
    </row>
    <row r="13" spans="2:16" ht="16.2">
      <c r="D13" s="993" t="s">
        <v>114</v>
      </c>
      <c r="E13" s="993"/>
      <c r="F13" s="993"/>
    </row>
    <row r="14" spans="2:16">
      <c r="D14" s="399" t="s">
        <v>358</v>
      </c>
      <c r="E14" s="399" t="s">
        <v>359</v>
      </c>
      <c r="F14" s="552" t="s">
        <v>385</v>
      </c>
      <c r="J14" s="225" t="s">
        <v>506</v>
      </c>
      <c r="K14" s="225" t="s">
        <v>505</v>
      </c>
      <c r="L14" s="100" t="s">
        <v>507</v>
      </c>
      <c r="M14" s="100" t="s">
        <v>508</v>
      </c>
    </row>
    <row r="15" spans="2:16" ht="18">
      <c r="B15" s="996" t="s">
        <v>380</v>
      </c>
      <c r="C15" s="996"/>
      <c r="D15" s="400">
        <f>'Máximos y mínimos'!C8</f>
        <v>7.4999999999999997E-2</v>
      </c>
      <c r="E15" s="400">
        <f>'Máximos y mínimos'!D8</f>
        <v>7.5</v>
      </c>
      <c r="F15" s="405">
        <f>Dosificación!C10</f>
        <v>0.6875</v>
      </c>
      <c r="H15" s="996" t="s">
        <v>441</v>
      </c>
      <c r="I15" s="996"/>
      <c r="J15" s="401" t="str">
        <f>Condiciones!K4</f>
        <v>Prefabricado</v>
      </c>
      <c r="K15" s="401" t="str">
        <f>Condiciones!K5</f>
        <v>Encofrados convencionales</v>
      </c>
      <c r="L15" s="402" t="str">
        <f>Condiciones!K6</f>
        <v>Hormigón convencional</v>
      </c>
      <c r="M15" s="402" t="str">
        <f>Condiciones!K7</f>
        <v>Sin tratamientos superficiales</v>
      </c>
    </row>
    <row r="16" spans="2:16">
      <c r="I16" t="s">
        <v>515</v>
      </c>
      <c r="J16" s="403">
        <f>IF(Condiciones!J4&lt;2,40,20)</f>
        <v>40</v>
      </c>
      <c r="K16" s="403">
        <f>IF(Condiciones!J5&lt;2,10,0)</f>
        <v>0</v>
      </c>
      <c r="L16" s="403">
        <f>IF(Condiciones!J6&lt;2,30,10)</f>
        <v>10</v>
      </c>
      <c r="M16" s="403">
        <f>IF(Condiciones!J7&lt;2,20,0)</f>
        <v>0</v>
      </c>
      <c r="N16" s="407">
        <f>SUM(J16:M16)</f>
        <v>50</v>
      </c>
    </row>
    <row r="18" spans="2:13">
      <c r="D18" s="1003" t="s">
        <v>386</v>
      </c>
      <c r="E18" s="1003"/>
      <c r="F18" s="100" t="s">
        <v>440</v>
      </c>
      <c r="J18" s="225" t="s">
        <v>387</v>
      </c>
      <c r="K18" s="225" t="s">
        <v>509</v>
      </c>
      <c r="L18" s="552" t="s">
        <v>385</v>
      </c>
    </row>
    <row r="19" spans="2:13" ht="18">
      <c r="B19" s="997" t="s">
        <v>440</v>
      </c>
      <c r="C19" s="998"/>
      <c r="D19" s="1001" t="str">
        <f>IF(Condiciones!J4&lt;2,"Si","No")</f>
        <v>Si</v>
      </c>
      <c r="E19" s="1002"/>
      <c r="F19" s="406" t="str">
        <f>IF(Condiciones!J4&lt;2,"Alta","Media")</f>
        <v>Alta</v>
      </c>
      <c r="G19" s="287"/>
      <c r="H19" s="997" t="s">
        <v>381</v>
      </c>
      <c r="I19" s="998"/>
      <c r="J19" s="404" t="str">
        <f>IF(Condiciones!J11&lt;2,"Si","No")</f>
        <v>Si</v>
      </c>
      <c r="K19" s="404">
        <f>Condiciones!K10</f>
        <v>5</v>
      </c>
      <c r="L19" s="406">
        <f>K19</f>
        <v>5</v>
      </c>
    </row>
    <row r="20" spans="2:13">
      <c r="I20" s="64"/>
      <c r="J20" s="550"/>
      <c r="K20" s="550"/>
    </row>
    <row r="22" spans="2:13">
      <c r="D22" s="999" t="s">
        <v>450</v>
      </c>
      <c r="E22" s="1000"/>
      <c r="J22" s="999" t="s">
        <v>506</v>
      </c>
      <c r="K22" s="1000"/>
      <c r="L22" s="225" t="s">
        <v>585</v>
      </c>
    </row>
    <row r="23" spans="2:13" ht="18">
      <c r="B23" s="997" t="s">
        <v>449</v>
      </c>
      <c r="C23" s="998"/>
      <c r="D23" s="1004" t="str">
        <f>IF(Condiciones!J12&lt;2,"Si","No")</f>
        <v>No</v>
      </c>
      <c r="E23" s="1005"/>
      <c r="G23" s="77"/>
      <c r="H23" s="997" t="s">
        <v>442</v>
      </c>
      <c r="I23" s="998"/>
      <c r="J23" s="1001" t="str">
        <f>Condiciones!K4</f>
        <v>Prefabricado</v>
      </c>
      <c r="K23" s="1002"/>
      <c r="L23" s="404" t="str">
        <f>IF(AND(Condiciones!J23=1,Condiciones!J24=1),"Si","No")</f>
        <v>Si</v>
      </c>
      <c r="M23" s="287"/>
    </row>
    <row r="24" spans="2:13">
      <c r="I24" t="s">
        <v>515</v>
      </c>
      <c r="J24" s="993">
        <f>IF(Condiciones!J4&lt;2,70,50)</f>
        <v>70</v>
      </c>
      <c r="K24" s="993"/>
      <c r="L24" s="404">
        <f>IF(AND(Condiciones!J23=1,Condiciones!J24=1),30,0)</f>
        <v>30</v>
      </c>
      <c r="M24" s="406">
        <f>SUM(J24:L24)</f>
        <v>100</v>
      </c>
    </row>
  </sheetData>
  <mergeCells count="21">
    <mergeCell ref="B19:C19"/>
    <mergeCell ref="D19:E19"/>
    <mergeCell ref="B23:C23"/>
    <mergeCell ref="D22:E22"/>
    <mergeCell ref="D23:E23"/>
    <mergeCell ref="J24:K24"/>
    <mergeCell ref="B3:C3"/>
    <mergeCell ref="B4:C4"/>
    <mergeCell ref="B5:C5"/>
    <mergeCell ref="B6:C6"/>
    <mergeCell ref="H15:I15"/>
    <mergeCell ref="B15:C15"/>
    <mergeCell ref="D13:F13"/>
    <mergeCell ref="H23:I23"/>
    <mergeCell ref="H19:I19"/>
    <mergeCell ref="J22:K22"/>
    <mergeCell ref="J23:K23"/>
    <mergeCell ref="B7:C7"/>
    <mergeCell ref="B8:C8"/>
    <mergeCell ref="B9:C9"/>
    <mergeCell ref="D18:E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80" zoomScaleNormal="80" workbookViewId="0">
      <selection activeCell="M25" sqref="M25"/>
    </sheetView>
  </sheetViews>
  <sheetFormatPr baseColWidth="10" defaultRowHeight="14.4"/>
  <cols>
    <col min="2" max="2" width="17.88671875" customWidth="1"/>
    <col min="3" max="3" width="18.6640625" customWidth="1"/>
    <col min="4" max="4" width="14.33203125" customWidth="1"/>
    <col min="5" max="5" width="13.5546875" customWidth="1"/>
    <col min="8" max="8" width="18.21875" customWidth="1"/>
    <col min="9" max="9" width="17.88671875" customWidth="1"/>
    <col min="13" max="13" width="18.77734375" customWidth="1"/>
    <col min="14" max="14" width="18.21875" customWidth="1"/>
  </cols>
  <sheetData>
    <row r="1" spans="2:20" ht="21"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S1" s="1014"/>
      <c r="T1" s="1014"/>
    </row>
    <row r="2" spans="2:20" ht="15" thickBot="1"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8.600000000000001" thickBot="1">
      <c r="C3" s="1012" t="s">
        <v>357</v>
      </c>
      <c r="D3" s="1013"/>
      <c r="G3" s="468"/>
      <c r="H3" s="468"/>
      <c r="I3" s="468"/>
      <c r="J3" s="468"/>
      <c r="K3" s="468"/>
      <c r="L3" s="468"/>
      <c r="M3" s="468"/>
      <c r="N3" s="468"/>
      <c r="O3" s="468"/>
      <c r="P3" s="665"/>
      <c r="Q3" s="468"/>
      <c r="R3" s="468"/>
      <c r="S3" s="468"/>
      <c r="T3" s="468"/>
    </row>
    <row r="4" spans="2:20" ht="15" thickBot="1">
      <c r="C4" s="214" t="s">
        <v>358</v>
      </c>
      <c r="D4" s="215" t="s">
        <v>359</v>
      </c>
      <c r="G4" s="64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</row>
    <row r="5" spans="2:20">
      <c r="B5" s="216" t="s">
        <v>360</v>
      </c>
      <c r="C5" s="286">
        <v>2</v>
      </c>
      <c r="D5" s="362">
        <v>10</v>
      </c>
      <c r="G5" s="64"/>
      <c r="H5" s="64"/>
      <c r="I5" s="64"/>
      <c r="J5" s="64"/>
      <c r="K5" s="64"/>
      <c r="L5" s="64"/>
      <c r="M5" s="466"/>
      <c r="N5" s="64"/>
      <c r="O5" s="64"/>
      <c r="P5" s="64"/>
      <c r="Q5" s="64"/>
      <c r="R5" s="64"/>
      <c r="S5" s="64"/>
      <c r="T5" s="64"/>
    </row>
    <row r="6" spans="2:20">
      <c r="B6" s="217" t="s">
        <v>361</v>
      </c>
      <c r="C6" s="475">
        <v>250</v>
      </c>
      <c r="D6" s="476">
        <v>500</v>
      </c>
      <c r="G6" s="64"/>
      <c r="H6" s="64"/>
      <c r="I6" s="64"/>
      <c r="J6" s="64"/>
      <c r="K6" s="64"/>
      <c r="L6" s="64"/>
      <c r="M6" s="466"/>
      <c r="N6" s="64"/>
      <c r="O6" s="64"/>
      <c r="P6" s="64"/>
      <c r="Q6" s="64"/>
      <c r="R6" s="64"/>
      <c r="S6" s="64"/>
      <c r="T6" s="64"/>
    </row>
    <row r="7" spans="2:20">
      <c r="B7" s="217" t="s">
        <v>362</v>
      </c>
      <c r="C7" s="224">
        <v>150</v>
      </c>
      <c r="D7" s="476">
        <v>1500</v>
      </c>
      <c r="G7" s="64"/>
      <c r="H7" s="64"/>
      <c r="I7" s="64"/>
      <c r="J7" s="64"/>
      <c r="K7" s="64"/>
      <c r="L7" s="64"/>
      <c r="M7" s="466"/>
      <c r="N7" s="64"/>
      <c r="O7" s="64"/>
      <c r="P7" s="64"/>
      <c r="Q7" s="64"/>
      <c r="R7" s="64"/>
      <c r="S7" s="64"/>
      <c r="T7" s="64"/>
    </row>
    <row r="8" spans="2:20" ht="16.8" thickBot="1">
      <c r="B8" s="218" t="s">
        <v>379</v>
      </c>
      <c r="C8" s="477">
        <f>(C6/1000)*(C7/1000)*C5</f>
        <v>7.4999999999999997E-2</v>
      </c>
      <c r="D8" s="478">
        <f>(D6/1000)*(D7/1000)*D5</f>
        <v>7.5</v>
      </c>
      <c r="G8" s="64"/>
      <c r="H8" s="64"/>
      <c r="I8" s="64"/>
      <c r="J8" s="64"/>
      <c r="K8" s="64"/>
      <c r="L8" s="64"/>
      <c r="M8" s="466"/>
      <c r="N8" s="64"/>
      <c r="O8" s="64"/>
      <c r="P8" s="64"/>
      <c r="Q8" s="64"/>
      <c r="R8" s="64"/>
      <c r="S8" s="64"/>
      <c r="T8" s="64"/>
    </row>
    <row r="9" spans="2:20">
      <c r="G9" s="64"/>
      <c r="H9" s="64"/>
      <c r="I9" s="64"/>
      <c r="J9" s="64"/>
      <c r="K9" s="64"/>
      <c r="L9" s="64"/>
      <c r="M9" s="466"/>
      <c r="N9" s="64"/>
      <c r="O9" s="64"/>
      <c r="P9" s="64"/>
      <c r="Q9" s="64"/>
      <c r="R9" s="64"/>
      <c r="S9" s="64"/>
      <c r="T9" s="64"/>
    </row>
    <row r="10" spans="2:20" ht="15" thickBot="1">
      <c r="G10" s="64"/>
      <c r="H10" s="64"/>
      <c r="I10" s="64"/>
      <c r="J10" s="64"/>
      <c r="K10" s="64"/>
      <c r="L10" s="64"/>
      <c r="M10" s="466"/>
      <c r="N10" s="64"/>
      <c r="O10" s="64"/>
      <c r="P10" s="64"/>
      <c r="Q10" s="64"/>
      <c r="R10" s="64"/>
      <c r="S10" s="64"/>
      <c r="T10" s="64"/>
    </row>
    <row r="11" spans="2:20" ht="21.6" thickBot="1">
      <c r="B11" s="1008" t="s">
        <v>558</v>
      </c>
      <c r="C11" s="1009"/>
      <c r="D11" s="479" t="s">
        <v>377</v>
      </c>
      <c r="E11" s="479" t="s">
        <v>378</v>
      </c>
      <c r="G11" s="64"/>
      <c r="I11" s="471" t="s">
        <v>363</v>
      </c>
      <c r="K11" s="64"/>
      <c r="L11" s="64"/>
      <c r="N11" s="480" t="s">
        <v>374</v>
      </c>
      <c r="O11" s="64"/>
      <c r="P11" s="64"/>
      <c r="Q11" s="64"/>
      <c r="R11" s="64"/>
      <c r="S11" s="64"/>
      <c r="T11" s="64"/>
    </row>
    <row r="12" spans="2:20" ht="18">
      <c r="B12" s="1010" t="s">
        <v>551</v>
      </c>
      <c r="C12" s="1011"/>
      <c r="D12" s="472">
        <f>J12/C5</f>
        <v>91.210999999999999</v>
      </c>
      <c r="E12" s="473">
        <f>O12/D5</f>
        <v>2348.8816999999999</v>
      </c>
      <c r="G12" s="64"/>
      <c r="H12" s="363" t="s">
        <v>365</v>
      </c>
      <c r="I12" s="362" t="s">
        <v>375</v>
      </c>
      <c r="J12" s="363">
        <v>182.422</v>
      </c>
      <c r="K12" s="64"/>
      <c r="L12" s="64"/>
      <c r="M12" s="363" t="s">
        <v>365</v>
      </c>
      <c r="N12" s="363" t="s">
        <v>366</v>
      </c>
      <c r="O12" s="481">
        <v>23488.816999999999</v>
      </c>
      <c r="P12" s="64"/>
      <c r="Q12" s="64"/>
      <c r="R12" s="64"/>
      <c r="S12" s="64"/>
      <c r="T12" s="64"/>
    </row>
    <row r="13" spans="2:20" ht="19.8">
      <c r="B13" s="994" t="s">
        <v>552</v>
      </c>
      <c r="C13" s="995"/>
      <c r="D13" s="474">
        <f>J13/C5</f>
        <v>4.4999999999999998E-2</v>
      </c>
      <c r="E13" s="473">
        <f>O13/D5</f>
        <v>1.1086</v>
      </c>
      <c r="G13" s="468"/>
      <c r="H13" s="363" t="s">
        <v>367</v>
      </c>
      <c r="I13" s="363" t="s">
        <v>376</v>
      </c>
      <c r="J13" s="363">
        <v>0.09</v>
      </c>
      <c r="K13" s="468"/>
      <c r="L13" s="468"/>
      <c r="M13" s="363" t="s">
        <v>367</v>
      </c>
      <c r="N13" s="363" t="s">
        <v>368</v>
      </c>
      <c r="O13" s="547">
        <v>11.086</v>
      </c>
      <c r="P13" s="468"/>
      <c r="Q13" s="468"/>
      <c r="R13" s="468"/>
      <c r="S13" s="468"/>
      <c r="T13" s="468"/>
    </row>
    <row r="14" spans="2:20" ht="18">
      <c r="B14" s="994" t="s">
        <v>553</v>
      </c>
      <c r="C14" s="995"/>
      <c r="D14" s="474">
        <f>J14/C5</f>
        <v>113.1075</v>
      </c>
      <c r="E14" s="473">
        <f>O14/D5</f>
        <v>3536.6779999999999</v>
      </c>
      <c r="G14" s="64"/>
      <c r="H14" s="363" t="s">
        <v>369</v>
      </c>
      <c r="I14" s="363" t="s">
        <v>375</v>
      </c>
      <c r="J14" s="363">
        <v>226.215</v>
      </c>
      <c r="K14" s="467"/>
      <c r="L14" s="467"/>
      <c r="M14" s="363" t="s">
        <v>369</v>
      </c>
      <c r="N14" s="363" t="s">
        <v>371</v>
      </c>
      <c r="O14" s="546">
        <v>35366.78</v>
      </c>
      <c r="P14" s="467"/>
      <c r="Q14" s="467"/>
      <c r="R14" s="467"/>
      <c r="S14" s="467"/>
      <c r="T14" s="467"/>
    </row>
    <row r="15" spans="2:20" ht="18">
      <c r="B15" s="994" t="s">
        <v>554</v>
      </c>
      <c r="C15" s="995"/>
      <c r="D15" s="474">
        <f>J15/C5</f>
        <v>9.7690000000000001</v>
      </c>
      <c r="E15" s="473">
        <f>O15/D5</f>
        <v>392.34499999999997</v>
      </c>
      <c r="G15" s="64"/>
      <c r="H15" s="363" t="s">
        <v>370</v>
      </c>
      <c r="I15" s="363" t="s">
        <v>375</v>
      </c>
      <c r="J15" s="363">
        <v>19.538</v>
      </c>
      <c r="K15" s="64"/>
      <c r="L15" s="64"/>
      <c r="M15" s="363" t="s">
        <v>370</v>
      </c>
      <c r="N15" s="363" t="s">
        <v>371</v>
      </c>
      <c r="O15" s="481">
        <v>3923.45</v>
      </c>
      <c r="P15" s="64"/>
      <c r="Q15" s="64"/>
      <c r="R15" s="64"/>
      <c r="S15" s="64"/>
      <c r="T15" s="64"/>
    </row>
    <row r="16" spans="2:20" ht="18">
      <c r="B16" s="994" t="s">
        <v>555</v>
      </c>
      <c r="C16" s="995"/>
      <c r="D16" s="474">
        <f>J16/C5</f>
        <v>41.213500000000003</v>
      </c>
      <c r="E16" s="473">
        <f>O16/D5</f>
        <v>1580.6489999999999</v>
      </c>
      <c r="G16" s="64"/>
      <c r="H16" s="363" t="s">
        <v>372</v>
      </c>
      <c r="I16" s="363" t="s">
        <v>375</v>
      </c>
      <c r="J16" s="363">
        <v>82.427000000000007</v>
      </c>
      <c r="K16" s="64"/>
      <c r="L16" s="64"/>
      <c r="M16" s="363" t="s">
        <v>372</v>
      </c>
      <c r="N16" s="363" t="s">
        <v>371</v>
      </c>
      <c r="O16" s="481">
        <v>15806.49</v>
      </c>
      <c r="P16" s="64"/>
      <c r="Q16" s="64"/>
      <c r="R16" s="64"/>
      <c r="S16" s="64"/>
      <c r="T16" s="64"/>
    </row>
    <row r="17" spans="1:20" ht="18">
      <c r="B17" s="994" t="s">
        <v>556</v>
      </c>
      <c r="C17" s="995"/>
      <c r="D17" s="474">
        <f>J17/C5</f>
        <v>1.5449999999999999</v>
      </c>
      <c r="E17" s="473">
        <f>O17/D5</f>
        <v>55.101999999999997</v>
      </c>
      <c r="G17" s="64"/>
      <c r="H17" s="363" t="s">
        <v>373</v>
      </c>
      <c r="I17" s="363" t="s">
        <v>375</v>
      </c>
      <c r="J17" s="363">
        <v>3.09</v>
      </c>
      <c r="K17" s="64"/>
      <c r="L17" s="64"/>
      <c r="M17" s="363" t="s">
        <v>373</v>
      </c>
      <c r="N17" s="363" t="s">
        <v>371</v>
      </c>
      <c r="O17" s="481">
        <v>551.02</v>
      </c>
      <c r="P17" s="64"/>
      <c r="Q17" s="64"/>
      <c r="R17" s="64"/>
      <c r="S17" s="64"/>
      <c r="T17" s="64"/>
    </row>
    <row r="18" spans="1:20" ht="18">
      <c r="B18" s="1007" t="s">
        <v>559</v>
      </c>
      <c r="C18" s="1007"/>
      <c r="D18" s="473">
        <v>0</v>
      </c>
      <c r="E18" s="473">
        <v>40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8">
      <c r="A19" s="411"/>
      <c r="B19" s="469"/>
      <c r="C19" s="469"/>
      <c r="D19" s="470"/>
      <c r="E19" s="470"/>
      <c r="F19" s="411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>
      <c r="B20" s="411"/>
      <c r="C20" s="411"/>
      <c r="D20" s="411"/>
      <c r="E20" s="411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1:20"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1:20" ht="15" thickBot="1"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ht="24" thickBot="1">
      <c r="B23" s="1008" t="s">
        <v>560</v>
      </c>
      <c r="C23" s="1009"/>
      <c r="D23" s="479" t="s">
        <v>377</v>
      </c>
      <c r="E23" s="479" t="s">
        <v>378</v>
      </c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</row>
    <row r="24" spans="1:20" ht="19.8">
      <c r="B24" s="1010" t="s">
        <v>572</v>
      </c>
      <c r="C24" s="1011"/>
      <c r="D24" s="472">
        <f>J12/C8</f>
        <v>2432.2933333333335</v>
      </c>
      <c r="E24" s="473">
        <f>O12/D8</f>
        <v>3131.8422666666665</v>
      </c>
      <c r="G24" s="64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</row>
    <row r="25" spans="1:20" ht="19.8">
      <c r="B25" s="994" t="s">
        <v>573</v>
      </c>
      <c r="C25" s="995"/>
      <c r="D25" s="472">
        <f>J13/C8</f>
        <v>1.2</v>
      </c>
      <c r="E25" s="473">
        <f>O13/D8</f>
        <v>1.4781333333333333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9.8">
      <c r="B26" s="994" t="s">
        <v>574</v>
      </c>
      <c r="C26" s="995"/>
      <c r="D26" s="472">
        <f>J14/C8</f>
        <v>3016.2000000000003</v>
      </c>
      <c r="E26" s="473">
        <f>O14/D8</f>
        <v>4715.5706666666665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9.8">
      <c r="B27" s="994" t="s">
        <v>575</v>
      </c>
      <c r="C27" s="995"/>
      <c r="D27" s="472">
        <f>J15/C8</f>
        <v>260.50666666666666</v>
      </c>
      <c r="E27" s="473">
        <f>O15/D8</f>
        <v>523.12666666666667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9.8">
      <c r="B28" s="994" t="s">
        <v>576</v>
      </c>
      <c r="C28" s="995"/>
      <c r="D28" s="472">
        <f>J16/C8</f>
        <v>1099.0266666666669</v>
      </c>
      <c r="E28" s="473">
        <f>O16/D8</f>
        <v>2107.5320000000002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9.8">
      <c r="B29" s="994" t="s">
        <v>577</v>
      </c>
      <c r="C29" s="995"/>
      <c r="D29" s="472">
        <f>J17/C8</f>
        <v>41.2</v>
      </c>
      <c r="E29" s="473">
        <f>O17/D8</f>
        <v>73.469333333333324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8">
      <c r="B30" s="1007" t="s">
        <v>559</v>
      </c>
      <c r="C30" s="1007"/>
      <c r="D30" s="473">
        <v>0</v>
      </c>
      <c r="E30" s="473">
        <v>40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7:20" ht="18">
      <c r="G33" s="1006"/>
      <c r="H33" s="1006"/>
      <c r="I33" s="1006"/>
      <c r="J33" s="1006"/>
      <c r="K33" s="1006"/>
      <c r="L33" s="1006"/>
      <c r="M33" s="1006"/>
      <c r="N33" s="1006"/>
      <c r="O33" s="1006"/>
      <c r="P33" s="1006"/>
      <c r="Q33" s="1006"/>
      <c r="R33" s="1006"/>
      <c r="S33" s="1006"/>
      <c r="T33" s="1006"/>
    </row>
    <row r="34" spans="7:20">
      <c r="G34" s="64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</row>
    <row r="35" spans="7:20"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7:20"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7:20"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7:20"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7:20"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7:20"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7:20"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7:20"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7:20" ht="18">
      <c r="G43" s="1006"/>
      <c r="H43" s="1006"/>
      <c r="I43" s="1006"/>
      <c r="J43" s="1006"/>
      <c r="K43" s="1006"/>
      <c r="L43" s="1006"/>
      <c r="M43" s="1006"/>
      <c r="N43" s="1006"/>
      <c r="O43" s="1006"/>
      <c r="P43" s="1006"/>
      <c r="Q43" s="1006"/>
      <c r="R43" s="1006"/>
      <c r="S43" s="1006"/>
      <c r="T43" s="1006"/>
    </row>
    <row r="44" spans="7:20">
      <c r="G44" s="64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</row>
    <row r="45" spans="7:20"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7:20"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7:20"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7:20"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7:20"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7:20"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7:20"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7:20"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7:20" ht="18">
      <c r="G53" s="1006"/>
      <c r="H53" s="1006"/>
      <c r="I53" s="1006"/>
      <c r="J53" s="1006"/>
      <c r="K53" s="1006"/>
      <c r="L53" s="1006"/>
      <c r="M53" s="1006"/>
      <c r="N53" s="1006"/>
      <c r="O53" s="1006"/>
      <c r="P53" s="1006"/>
      <c r="Q53" s="1006"/>
      <c r="R53" s="1006"/>
      <c r="S53" s="1006"/>
      <c r="T53" s="1006"/>
    </row>
    <row r="54" spans="7:20">
      <c r="G54" s="64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</row>
    <row r="55" spans="7:20"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7:20"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7:20"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7:20"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7:20"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7:20"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7:20"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</sheetData>
  <mergeCells count="21">
    <mergeCell ref="B14:C14"/>
    <mergeCell ref="B15:C15"/>
    <mergeCell ref="B16:C16"/>
    <mergeCell ref="C3:D3"/>
    <mergeCell ref="G1:T1"/>
    <mergeCell ref="B11:C11"/>
    <mergeCell ref="B12:C12"/>
    <mergeCell ref="B13:C13"/>
    <mergeCell ref="G33:T33"/>
    <mergeCell ref="G43:T43"/>
    <mergeCell ref="G53:T53"/>
    <mergeCell ref="B17:C17"/>
    <mergeCell ref="B18:C18"/>
    <mergeCell ref="B23:C23"/>
    <mergeCell ref="B24:C24"/>
    <mergeCell ref="B25:C25"/>
    <mergeCell ref="B26:C26"/>
    <mergeCell ref="B27:C27"/>
    <mergeCell ref="B28:C28"/>
    <mergeCell ref="B29:C29"/>
    <mergeCell ref="B30:C30"/>
  </mergeCells>
  <pageMargins left="0.7" right="0.7" top="0.75" bottom="0.75" header="0.3" footer="0.3"/>
  <pageSetup paperSize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65"/>
  <sheetViews>
    <sheetView showGridLines="0" zoomScale="70" zoomScaleNormal="70" workbookViewId="0">
      <selection activeCell="N60" sqref="N60"/>
    </sheetView>
  </sheetViews>
  <sheetFormatPr baseColWidth="10" defaultRowHeight="14.4"/>
  <cols>
    <col min="4" max="4" width="3.44140625" customWidth="1"/>
    <col min="5" max="5" width="16.109375" customWidth="1"/>
    <col min="6" max="6" width="15.6640625" customWidth="1"/>
    <col min="7" max="7" width="3.109375" customWidth="1"/>
    <col min="8" max="8" width="18.77734375" customWidth="1"/>
    <col min="9" max="9" width="13.44140625" customWidth="1"/>
    <col min="10" max="10" width="2.109375" customWidth="1"/>
    <col min="11" max="11" width="22.33203125" customWidth="1"/>
    <col min="12" max="12" width="12.33203125" customWidth="1"/>
    <col min="21" max="21" width="13.88671875" customWidth="1"/>
    <col min="22" max="22" width="19.21875" customWidth="1"/>
  </cols>
  <sheetData>
    <row r="4" spans="4:22">
      <c r="D4" s="1017" t="s">
        <v>389</v>
      </c>
      <c r="E4" s="1017"/>
      <c r="F4" s="1017" t="s">
        <v>422</v>
      </c>
      <c r="G4" s="1017" t="s">
        <v>390</v>
      </c>
      <c r="H4" s="1017"/>
      <c r="I4" s="1017" t="s">
        <v>391</v>
      </c>
      <c r="J4" s="1017" t="s">
        <v>392</v>
      </c>
      <c r="K4" s="1017"/>
      <c r="L4" s="1017" t="s">
        <v>393</v>
      </c>
      <c r="M4" s="1017" t="s">
        <v>394</v>
      </c>
      <c r="N4" s="1018" t="s">
        <v>401</v>
      </c>
      <c r="O4" s="1018"/>
      <c r="P4" s="1018"/>
      <c r="Q4" s="1018"/>
      <c r="R4" s="1018"/>
      <c r="S4" s="1018"/>
      <c r="T4" s="1018"/>
    </row>
    <row r="5" spans="4:22"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247" t="s">
        <v>395</v>
      </c>
      <c r="O5" s="247" t="s">
        <v>396</v>
      </c>
      <c r="P5" s="247" t="s">
        <v>397</v>
      </c>
      <c r="Q5" s="247" t="s">
        <v>398</v>
      </c>
      <c r="R5" s="247" t="s">
        <v>399</v>
      </c>
      <c r="S5" s="1018" t="s">
        <v>400</v>
      </c>
      <c r="T5" s="1018"/>
    </row>
    <row r="8" spans="4:22" ht="15.6">
      <c r="J8" s="280"/>
      <c r="K8" s="58" t="s">
        <v>431</v>
      </c>
      <c r="L8" s="299">
        <f>IF(M8&gt;N8, 0, IF(M8&lt;O8, 1, (1-EXP(-Q8*((ABS(M8-N8))/R8)^P8))/(1-EXP(-Q8*((ABS(O8-N8))/R8)^P8))))</f>
        <v>0.92922093405849615</v>
      </c>
      <c r="M8" s="304">
        <f>Económicos!I3/Dimensionamiento!C16</f>
        <v>25.586908475927082</v>
      </c>
      <c r="N8" s="253">
        <v>234.49</v>
      </c>
      <c r="O8" s="253">
        <v>9.59</v>
      </c>
      <c r="P8" s="253">
        <v>1</v>
      </c>
      <c r="Q8" s="253">
        <v>0.01</v>
      </c>
      <c r="R8" s="253">
        <v>212</v>
      </c>
      <c r="S8" s="254" t="s">
        <v>403</v>
      </c>
      <c r="T8" s="254" t="s">
        <v>404</v>
      </c>
      <c r="U8" s="1015" t="s">
        <v>405</v>
      </c>
      <c r="V8" s="1016"/>
    </row>
    <row r="9" spans="4:22" ht="15.6">
      <c r="J9" s="278"/>
      <c r="K9" s="283">
        <v>0.7</v>
      </c>
      <c r="L9" s="279"/>
      <c r="M9" s="305"/>
      <c r="U9" s="258"/>
      <c r="V9" s="258"/>
    </row>
    <row r="10" spans="4:22" ht="15.6">
      <c r="J10" s="278"/>
      <c r="L10" s="279"/>
      <c r="M10" s="305"/>
      <c r="U10" s="258"/>
      <c r="V10" s="258"/>
    </row>
    <row r="11" spans="4:22" ht="15.6">
      <c r="D11" s="250"/>
      <c r="E11" s="251" t="s">
        <v>402</v>
      </c>
      <c r="F11" s="299">
        <f>H12*I11</f>
        <v>0.93524440910753737</v>
      </c>
      <c r="G11" s="253"/>
      <c r="H11" s="253" t="s">
        <v>452</v>
      </c>
      <c r="I11" s="299">
        <f>K9*L8+K15*L14</f>
        <v>0.93524440910753737</v>
      </c>
      <c r="J11" s="255"/>
      <c r="L11" s="279"/>
      <c r="M11" s="305"/>
      <c r="U11" s="258"/>
      <c r="V11" s="258"/>
    </row>
    <row r="12" spans="4:22" ht="15.6">
      <c r="D12" s="255"/>
      <c r="E12" s="256">
        <v>0.25</v>
      </c>
      <c r="F12" s="257"/>
      <c r="G12" s="258"/>
      <c r="H12" s="283">
        <v>1</v>
      </c>
      <c r="I12" s="258"/>
      <c r="J12" s="255"/>
      <c r="K12" s="256"/>
      <c r="L12" s="279"/>
      <c r="M12" s="306"/>
      <c r="N12" s="258"/>
      <c r="O12" s="258"/>
      <c r="P12" s="258"/>
      <c r="Q12" s="258"/>
      <c r="R12" s="258"/>
      <c r="S12" s="260"/>
      <c r="T12" s="260"/>
      <c r="U12" s="303"/>
      <c r="V12" s="303"/>
    </row>
    <row r="13" spans="4:22" ht="15.6">
      <c r="D13" s="278"/>
      <c r="J13" s="278"/>
      <c r="L13" s="279"/>
      <c r="M13" s="305"/>
      <c r="U13" s="258"/>
      <c r="V13" s="258"/>
    </row>
    <row r="14" spans="4:22" ht="15.6">
      <c r="D14" s="278"/>
      <c r="J14" s="281"/>
      <c r="K14" s="58" t="s">
        <v>432</v>
      </c>
      <c r="L14" s="299">
        <f t="shared" ref="L14" si="0">IF(M14&gt;N14, 0, IF(M14&lt;O14, 1, (1-EXP(-Q14*((ABS(M14-N14))/R14)^P14))/(1-EXP(-Q14*((ABS(O14-N14))/R14)^P14))))</f>
        <v>0.94929918422196724</v>
      </c>
      <c r="M14" s="499">
        <f>Económicos!P3</f>
        <v>1.3131250000000001</v>
      </c>
      <c r="N14" s="282">
        <v>19.5</v>
      </c>
      <c r="O14" s="282">
        <v>0.33700000000000002</v>
      </c>
      <c r="P14" s="282">
        <v>1</v>
      </c>
      <c r="Q14" s="282">
        <v>0.01</v>
      </c>
      <c r="R14" s="282">
        <v>19.5</v>
      </c>
      <c r="S14" s="293" t="s">
        <v>403</v>
      </c>
      <c r="T14" s="282" t="s">
        <v>404</v>
      </c>
      <c r="U14" s="1015" t="s">
        <v>433</v>
      </c>
      <c r="V14" s="1016"/>
    </row>
    <row r="15" spans="4:22" ht="15.6">
      <c r="D15" s="278"/>
      <c r="K15" s="283">
        <v>0.3</v>
      </c>
      <c r="L15" s="279"/>
      <c r="M15" s="305"/>
      <c r="U15" s="258"/>
      <c r="V15" s="258"/>
    </row>
    <row r="16" spans="4:22" ht="15.6">
      <c r="D16" s="278"/>
      <c r="L16" s="279"/>
      <c r="M16" s="305"/>
      <c r="U16" s="258"/>
      <c r="V16" s="258"/>
    </row>
    <row r="17" spans="2:22" ht="15.6">
      <c r="D17" s="255"/>
      <c r="E17" s="258"/>
      <c r="F17" s="257"/>
      <c r="G17" s="258"/>
      <c r="H17" s="258"/>
      <c r="I17" s="258"/>
      <c r="J17" s="258"/>
      <c r="K17" s="258"/>
      <c r="L17" s="279"/>
      <c r="M17" s="306"/>
      <c r="N17" s="258"/>
      <c r="O17" s="258"/>
      <c r="P17" s="258"/>
      <c r="Q17" s="258"/>
      <c r="R17" s="258"/>
      <c r="S17" s="260"/>
      <c r="T17" s="260"/>
      <c r="U17" s="303"/>
      <c r="V17" s="303"/>
    </row>
    <row r="18" spans="2:22" ht="15.6">
      <c r="D18" s="255"/>
      <c r="E18" s="258"/>
      <c r="F18" s="257"/>
      <c r="G18" s="258"/>
      <c r="H18" s="258"/>
      <c r="I18" s="258"/>
      <c r="J18" s="258"/>
      <c r="K18" s="258"/>
      <c r="L18" s="279"/>
      <c r="M18" s="306"/>
      <c r="N18" s="258"/>
      <c r="O18" s="258"/>
      <c r="P18" s="258"/>
      <c r="Q18" s="258"/>
      <c r="R18" s="258"/>
      <c r="S18" s="260"/>
      <c r="T18" s="260"/>
      <c r="U18" s="303"/>
      <c r="V18" s="303"/>
    </row>
    <row r="19" spans="2:22" ht="15.6">
      <c r="D19" s="255"/>
      <c r="E19" s="258"/>
      <c r="F19" s="257"/>
      <c r="G19" s="258"/>
      <c r="H19" s="258"/>
      <c r="I19" s="258"/>
      <c r="J19" s="261"/>
      <c r="K19" s="262" t="s">
        <v>407</v>
      </c>
      <c r="L19" s="299">
        <f t="shared" ref="L19:L21" si="1">IF(M19&gt;N19, 0, IF(M19&lt;O19, 1, (1-EXP(-Q19*((ABS(M19-N19))/R19)^P19))/(1-EXP(-Q19*((ABS(O19-N19))/R19)^P19))))</f>
        <v>0.94960828811302889</v>
      </c>
      <c r="M19" s="304">
        <f>Medioambientales!C8/Dimensionamiento!C16</f>
        <v>568.65300587187812</v>
      </c>
      <c r="N19" s="253">
        <v>3536.68</v>
      </c>
      <c r="O19" s="253">
        <v>113.1</v>
      </c>
      <c r="P19" s="253">
        <v>2.56</v>
      </c>
      <c r="Q19" s="253">
        <v>0.15</v>
      </c>
      <c r="R19" s="253">
        <v>968.73</v>
      </c>
      <c r="S19" s="254" t="s">
        <v>414</v>
      </c>
      <c r="T19" s="254" t="s">
        <v>404</v>
      </c>
      <c r="U19" s="1015" t="s">
        <v>159</v>
      </c>
      <c r="V19" s="1016"/>
    </row>
    <row r="20" spans="2:22" ht="15.6">
      <c r="D20" s="255"/>
      <c r="E20" s="258"/>
      <c r="F20" s="257"/>
      <c r="G20" s="258"/>
      <c r="H20" s="258"/>
      <c r="I20" s="258"/>
      <c r="J20" s="255"/>
      <c r="K20" s="256">
        <v>0.4</v>
      </c>
      <c r="L20" s="259"/>
      <c r="M20" s="306"/>
      <c r="N20" s="258"/>
      <c r="O20" s="258"/>
      <c r="P20" s="258"/>
      <c r="Q20" s="258"/>
      <c r="R20" s="258"/>
      <c r="S20" s="260"/>
      <c r="T20" s="260"/>
      <c r="U20" s="303"/>
      <c r="V20" s="303"/>
    </row>
    <row r="21" spans="2:22" ht="15.6">
      <c r="D21" s="255"/>
      <c r="E21" s="258"/>
      <c r="F21" s="257"/>
      <c r="G21" s="258"/>
      <c r="H21" s="258"/>
      <c r="I21" s="258"/>
      <c r="J21" s="255"/>
      <c r="K21" s="262" t="s">
        <v>408</v>
      </c>
      <c r="L21" s="299">
        <f t="shared" si="1"/>
        <v>0.93065794370200972</v>
      </c>
      <c r="M21" s="304">
        <f>Medioambientales!C7/Dimensionamiento!C16</f>
        <v>0.18719872354463871</v>
      </c>
      <c r="N21" s="253">
        <v>1.1000000000000001</v>
      </c>
      <c r="O21" s="253">
        <v>4.4999999999999998E-2</v>
      </c>
      <c r="P21" s="253">
        <v>3.38</v>
      </c>
      <c r="Q21" s="253">
        <v>0.32</v>
      </c>
      <c r="R21" s="253">
        <v>0.5</v>
      </c>
      <c r="S21" s="254" t="s">
        <v>414</v>
      </c>
      <c r="T21" s="254" t="s">
        <v>404</v>
      </c>
      <c r="U21" s="1015" t="s">
        <v>158</v>
      </c>
      <c r="V21" s="1016"/>
    </row>
    <row r="22" spans="2:22" ht="15.6">
      <c r="D22" s="255"/>
      <c r="E22" s="258"/>
      <c r="F22" s="257"/>
      <c r="G22" s="261"/>
      <c r="H22" s="253" t="s">
        <v>561</v>
      </c>
      <c r="I22" s="299">
        <f>K20*L19+K22*L21+K24*L23+K26*L25</f>
        <v>0.90574345019230174</v>
      </c>
      <c r="J22" s="255"/>
      <c r="K22" s="256">
        <v>0.2</v>
      </c>
      <c r="L22" s="259"/>
      <c r="M22" s="306"/>
      <c r="N22" s="258"/>
      <c r="O22" s="258"/>
      <c r="P22" s="258"/>
      <c r="Q22" s="258"/>
      <c r="R22" s="258"/>
      <c r="S22" s="260"/>
      <c r="T22" s="260"/>
      <c r="U22" s="303"/>
      <c r="V22" s="303"/>
    </row>
    <row r="23" spans="2:22" ht="15.6">
      <c r="C23" s="297"/>
      <c r="D23" s="255"/>
      <c r="E23" s="258"/>
      <c r="F23" s="257"/>
      <c r="G23" s="255"/>
      <c r="H23" s="256">
        <v>0.35</v>
      </c>
      <c r="I23" s="257"/>
      <c r="J23" s="255"/>
      <c r="K23" s="262" t="s">
        <v>409</v>
      </c>
      <c r="L23" s="299">
        <f>IF(M23&gt;N23, 0, IF(M23&lt;O23, 1, (1-EXP(-Q23*((ABS(M23-N23))/R23)^P23))/(1-EXP(-Q23*((ABS(O23-N23))/R23)^P23))))</f>
        <v>0.8262750049701173</v>
      </c>
      <c r="M23" s="304">
        <f>Medioambientales!C6/Dimensionamiento!C16</f>
        <v>414.18906397302953</v>
      </c>
      <c r="N23" s="253">
        <v>2349</v>
      </c>
      <c r="O23" s="253">
        <v>91</v>
      </c>
      <c r="P23" s="253">
        <v>3.16</v>
      </c>
      <c r="Q23" s="253">
        <v>0.03</v>
      </c>
      <c r="R23" s="253">
        <v>587.76</v>
      </c>
      <c r="S23" s="254" t="s">
        <v>414</v>
      </c>
      <c r="T23" s="254" t="s">
        <v>404</v>
      </c>
      <c r="U23" s="1015" t="s">
        <v>157</v>
      </c>
      <c r="V23" s="1016"/>
    </row>
    <row r="24" spans="2:22" ht="15.6">
      <c r="C24" s="297"/>
      <c r="D24" s="255"/>
      <c r="E24" s="258"/>
      <c r="F24" s="257"/>
      <c r="G24" s="255"/>
      <c r="H24" s="258"/>
      <c r="I24" s="257"/>
      <c r="J24" s="255"/>
      <c r="K24" s="256">
        <v>0.3</v>
      </c>
      <c r="L24" s="259"/>
      <c r="M24" s="306"/>
      <c r="N24" s="258"/>
      <c r="O24" s="258"/>
      <c r="P24" s="258"/>
      <c r="Q24" s="258"/>
      <c r="R24" s="258"/>
      <c r="S24" s="260"/>
      <c r="T24" s="260"/>
      <c r="U24" s="303"/>
      <c r="V24" s="303"/>
    </row>
    <row r="25" spans="2:22" ht="15.6">
      <c r="D25" s="255"/>
      <c r="E25" s="258"/>
      <c r="F25" s="257"/>
      <c r="G25" s="255"/>
      <c r="H25" s="258"/>
      <c r="I25" s="257"/>
      <c r="J25" s="263"/>
      <c r="K25" s="262" t="s">
        <v>461</v>
      </c>
      <c r="L25" s="299">
        <f>IF(M25&lt;N25, 0, IF(M25&gt;O25, 1, (1-EXP(-Q25*((ABS(M25-N25))/R25)^P25))/(1-EXP(-Q25*((ABS(O25-N25))/R25)^P25))))</f>
        <v>0.91886044715652981</v>
      </c>
      <c r="M25" s="304">
        <f>Condiciones!J13</f>
        <v>30</v>
      </c>
      <c r="N25" s="253">
        <v>0</v>
      </c>
      <c r="O25" s="253">
        <v>40</v>
      </c>
      <c r="P25" s="253">
        <v>0.5</v>
      </c>
      <c r="Q25" s="253">
        <v>0.5</v>
      </c>
      <c r="R25" s="253">
        <v>9</v>
      </c>
      <c r="S25" s="254" t="s">
        <v>470</v>
      </c>
      <c r="T25" s="254" t="s">
        <v>417</v>
      </c>
      <c r="U25" s="1015" t="s">
        <v>462</v>
      </c>
      <c r="V25" s="1016"/>
    </row>
    <row r="26" spans="2:22" ht="15.6">
      <c r="D26" s="255"/>
      <c r="G26" s="255"/>
      <c r="H26" s="258"/>
      <c r="I26" s="257"/>
      <c r="J26" s="258"/>
      <c r="K26" s="256">
        <v>0.1</v>
      </c>
      <c r="L26" s="259"/>
      <c r="M26" s="306"/>
      <c r="N26" s="258"/>
      <c r="O26" s="258"/>
      <c r="P26" s="258"/>
      <c r="Q26" s="258"/>
      <c r="R26" s="258"/>
      <c r="S26" s="260"/>
      <c r="T26" s="260"/>
      <c r="U26" s="303"/>
      <c r="V26" s="303"/>
    </row>
    <row r="27" spans="2:22" ht="15.6">
      <c r="D27" s="255"/>
      <c r="G27" s="255"/>
      <c r="H27" s="258"/>
      <c r="I27" s="257"/>
      <c r="J27" s="258"/>
      <c r="K27" s="258"/>
      <c r="L27" s="257"/>
      <c r="M27" s="306"/>
      <c r="N27" s="258"/>
      <c r="O27" s="258"/>
      <c r="P27" s="258"/>
      <c r="Q27" s="258"/>
      <c r="R27" s="258"/>
      <c r="S27" s="260"/>
      <c r="T27" s="260"/>
      <c r="U27" s="303"/>
      <c r="V27" s="303"/>
    </row>
    <row r="28" spans="2:22" ht="15.6">
      <c r="D28" s="255"/>
      <c r="G28" s="278"/>
      <c r="J28" s="261"/>
      <c r="K28" s="253" t="s">
        <v>464</v>
      </c>
      <c r="L28" s="299">
        <f>IF(M28&gt;N28, 0, IF(M28&lt;O28, 1, (1-EXP(-Q28*((ABS(M28-N28))/R28)^P28))/(1-EXP(-Q28*((ABS(O28-N28))/R28)^P28))))</f>
        <v>0.63450198541234748</v>
      </c>
      <c r="M28" s="304">
        <f>Medioambientales!C9/Dimensionamiento!C16</f>
        <v>62.68852324060331</v>
      </c>
      <c r="N28" s="253">
        <v>393</v>
      </c>
      <c r="O28" s="253">
        <v>9.6999999999999993</v>
      </c>
      <c r="P28" s="253">
        <v>3.16</v>
      </c>
      <c r="Q28" s="253">
        <v>0.03</v>
      </c>
      <c r="R28" s="253">
        <v>278.67</v>
      </c>
      <c r="S28" s="254" t="s">
        <v>414</v>
      </c>
      <c r="T28" s="254" t="s">
        <v>404</v>
      </c>
      <c r="U28" s="1015" t="s">
        <v>364</v>
      </c>
      <c r="V28" s="1016"/>
    </row>
    <row r="29" spans="2:22" ht="15.6">
      <c r="D29" s="255"/>
      <c r="E29" s="258"/>
      <c r="G29" s="278"/>
      <c r="J29" s="255"/>
      <c r="K29" s="256">
        <v>0.67</v>
      </c>
      <c r="L29" s="259"/>
      <c r="M29" s="306"/>
      <c r="N29" s="258"/>
      <c r="O29" s="258"/>
      <c r="P29" s="258"/>
      <c r="Q29" s="258"/>
      <c r="R29" s="258"/>
      <c r="S29" s="260"/>
      <c r="T29" s="260"/>
      <c r="U29" s="303"/>
      <c r="V29" s="303"/>
    </row>
    <row r="30" spans="2:22" ht="16.2" thickBot="1">
      <c r="D30" s="255"/>
      <c r="G30" s="255"/>
      <c r="H30" s="253" t="s">
        <v>410</v>
      </c>
      <c r="I30" s="299">
        <f>K29*L28+K31*L30+K33*L32</f>
        <v>0.67039062912956027</v>
      </c>
      <c r="J30" s="255"/>
      <c r="K30" s="253" t="s">
        <v>463</v>
      </c>
      <c r="L30" s="299">
        <f>IF(M30&gt;N30, 0, IF(M30&lt;O30, 1, (1-EXP(-Q30*((ABS(M30-N30))/R30)^P30))/(1-EXP(-Q30*((ABS(O30-N30))/R30)^P30))))</f>
        <v>0.89691835813951815</v>
      </c>
      <c r="M30" s="304">
        <f>Medioambientales!C10/Dimensionamiento!C16</f>
        <v>242.83565895053889</v>
      </c>
      <c r="N30" s="253">
        <v>1581</v>
      </c>
      <c r="O30" s="253">
        <v>41</v>
      </c>
      <c r="P30" s="253">
        <v>3.58</v>
      </c>
      <c r="Q30" s="253">
        <v>0.06</v>
      </c>
      <c r="R30" s="253">
        <v>503</v>
      </c>
      <c r="S30" s="254" t="s">
        <v>415</v>
      </c>
      <c r="T30" s="254" t="s">
        <v>404</v>
      </c>
      <c r="U30" s="1015" t="s">
        <v>162</v>
      </c>
      <c r="V30" s="1016"/>
    </row>
    <row r="31" spans="2:22" ht="18.600000000000001" thickBot="1">
      <c r="B31" s="246" t="s">
        <v>388</v>
      </c>
      <c r="C31" s="249">
        <f>E12*F11+E33*F32+E58*F57</f>
        <v>0.71450435587292582</v>
      </c>
      <c r="D31" s="255"/>
      <c r="G31" s="255"/>
      <c r="H31" s="256">
        <v>0.5</v>
      </c>
      <c r="I31" s="257"/>
      <c r="J31" s="255"/>
      <c r="K31" s="256">
        <v>0.15</v>
      </c>
      <c r="L31" s="259"/>
      <c r="M31" s="306"/>
      <c r="N31" s="258"/>
      <c r="O31" s="258"/>
      <c r="P31" s="258"/>
      <c r="Q31" s="258"/>
      <c r="R31" s="258"/>
      <c r="S31" s="260"/>
      <c r="T31" s="260"/>
      <c r="U31" s="303"/>
      <c r="V31" s="303"/>
    </row>
    <row r="32" spans="2:22" ht="15.6">
      <c r="D32" s="255"/>
      <c r="E32" s="251" t="s">
        <v>406</v>
      </c>
      <c r="F32" s="299">
        <f>H23*I22+H31*I30+H39*I38+H44*I43</f>
        <v>0.78570552213208578</v>
      </c>
      <c r="G32" s="255"/>
      <c r="J32" s="263"/>
      <c r="K32" s="253" t="s">
        <v>411</v>
      </c>
      <c r="L32" s="299">
        <f>IF(M32&gt;N32, 0, IF(M32&lt;O32, 1, (1-EXP(-Q32*((ABS(M32-N32))/R32)^P32))/(1-EXP(-Q32*((ABS(O32-N32))/R32)^P32))))</f>
        <v>0.61520302879088773</v>
      </c>
      <c r="M32" s="304">
        <f>Medioambientales!C11/Dimensionamiento!C16</f>
        <v>9.1074145196293763</v>
      </c>
      <c r="N32" s="253">
        <v>55</v>
      </c>
      <c r="O32" s="253">
        <v>1.5</v>
      </c>
      <c r="P32" s="253">
        <v>3.94</v>
      </c>
      <c r="Q32" s="253">
        <v>0.23</v>
      </c>
      <c r="R32" s="253">
        <v>42.62</v>
      </c>
      <c r="S32" s="254" t="s">
        <v>414</v>
      </c>
      <c r="T32" s="254" t="s">
        <v>404</v>
      </c>
      <c r="U32" s="1015" t="s">
        <v>416</v>
      </c>
      <c r="V32" s="1016"/>
    </row>
    <row r="33" spans="4:22" ht="15.6">
      <c r="D33" s="255"/>
      <c r="E33" s="256">
        <v>0.45</v>
      </c>
      <c r="F33" s="257"/>
      <c r="G33" s="255"/>
      <c r="J33" s="296"/>
      <c r="K33" s="295">
        <v>0.18</v>
      </c>
      <c r="L33" s="257"/>
      <c r="M33" s="307"/>
      <c r="P33" s="258"/>
      <c r="S33" s="260"/>
      <c r="T33" s="260"/>
      <c r="U33" s="248"/>
      <c r="V33" s="248"/>
    </row>
    <row r="34" spans="4:22">
      <c r="D34" s="278"/>
      <c r="G34" s="278"/>
      <c r="I34" s="77"/>
      <c r="M34" s="305"/>
    </row>
    <row r="35" spans="4:22" ht="15.6">
      <c r="D35" s="278"/>
      <c r="G35" s="278"/>
      <c r="M35" s="305" t="str">
        <f>IF(Condiciones!J15&lt;2,"Reciclaje","Vertedero")</f>
        <v>Reciclaje</v>
      </c>
      <c r="N35" s="1019" t="s">
        <v>179</v>
      </c>
      <c r="O35" s="1019"/>
      <c r="Q35" s="1019" t="s">
        <v>175</v>
      </c>
      <c r="R35" s="1019"/>
    </row>
    <row r="36" spans="4:22" ht="15.6">
      <c r="D36" s="278"/>
      <c r="G36" s="278"/>
      <c r="J36" s="261"/>
      <c r="K36" s="253" t="s">
        <v>609</v>
      </c>
      <c r="L36" s="300">
        <f>IF(M36="Si",N36,0)</f>
        <v>1</v>
      </c>
      <c r="M36" s="308" t="str">
        <f>Medioambientales!D17</f>
        <v>Si</v>
      </c>
      <c r="N36" s="1021">
        <v>1</v>
      </c>
      <c r="O36" s="1022"/>
      <c r="P36" s="253"/>
      <c r="Q36" s="1022">
        <v>0</v>
      </c>
      <c r="R36" s="1022"/>
      <c r="S36" s="292" t="s">
        <v>421</v>
      </c>
      <c r="T36" s="253"/>
      <c r="U36" s="1015" t="s">
        <v>455</v>
      </c>
      <c r="V36" s="1016"/>
    </row>
    <row r="37" spans="4:22" ht="15.6">
      <c r="D37" s="278"/>
      <c r="G37" s="278"/>
      <c r="J37" s="255"/>
      <c r="K37" s="256">
        <v>0.34</v>
      </c>
      <c r="L37" s="301"/>
      <c r="M37" s="307"/>
      <c r="N37" s="1020"/>
      <c r="O37" s="1020"/>
      <c r="P37" s="258"/>
      <c r="Q37" s="1020"/>
      <c r="R37" s="1020"/>
      <c r="S37" s="260"/>
      <c r="T37" s="258"/>
      <c r="U37" s="303"/>
      <c r="V37" s="303"/>
    </row>
    <row r="38" spans="4:22" ht="15.6">
      <c r="D38" s="278"/>
      <c r="G38" s="278"/>
      <c r="H38" s="262" t="s">
        <v>466</v>
      </c>
      <c r="I38" s="298">
        <f>K37*L36+K39*L38+K41*L40</f>
        <v>0.83499999999999996</v>
      </c>
      <c r="J38" s="255"/>
      <c r="K38" s="253" t="s">
        <v>459</v>
      </c>
      <c r="L38" s="300">
        <f>IF(M38=0,R38,IF(M38=1,Q38,IF(M38=2,P38,IF(M38=3,O38,1))))</f>
        <v>0.5</v>
      </c>
      <c r="M38" s="308">
        <f>Condiciones!N20</f>
        <v>2</v>
      </c>
      <c r="N38" s="315">
        <v>1</v>
      </c>
      <c r="O38" s="316">
        <v>0.75</v>
      </c>
      <c r="P38" s="253">
        <v>0.5</v>
      </c>
      <c r="Q38" s="316">
        <v>0.25</v>
      </c>
      <c r="R38" s="316">
        <v>0</v>
      </c>
      <c r="S38" s="292" t="s">
        <v>421</v>
      </c>
      <c r="T38" s="253"/>
      <c r="U38" s="1015" t="s">
        <v>460</v>
      </c>
      <c r="V38" s="1016"/>
    </row>
    <row r="39" spans="4:22" ht="15.6">
      <c r="D39" s="278"/>
      <c r="G39" s="278"/>
      <c r="H39" s="256">
        <v>0.1</v>
      </c>
      <c r="J39" s="255"/>
      <c r="K39" s="256">
        <v>0.33</v>
      </c>
      <c r="L39" s="301"/>
      <c r="M39" s="307"/>
      <c r="N39" s="258"/>
      <c r="O39" s="258"/>
      <c r="P39" s="258"/>
      <c r="Q39" s="258"/>
      <c r="R39" s="258"/>
      <c r="S39" s="260"/>
      <c r="T39" s="258"/>
      <c r="U39" s="303"/>
      <c r="V39" s="303"/>
    </row>
    <row r="40" spans="4:22" ht="15.6">
      <c r="D40" s="278"/>
      <c r="G40" s="278"/>
      <c r="J40" s="263"/>
      <c r="K40" s="253" t="s">
        <v>465</v>
      </c>
      <c r="L40" s="300">
        <f t="shared" ref="L40" si="2">IF(M40="Si",N40,0)</f>
        <v>1</v>
      </c>
      <c r="M40" s="308" t="str">
        <f>Medioambientales!D16</f>
        <v>Si</v>
      </c>
      <c r="N40" s="1022">
        <v>1</v>
      </c>
      <c r="O40" s="1022"/>
      <c r="P40" s="253"/>
      <c r="Q40" s="1022">
        <v>0</v>
      </c>
      <c r="R40" s="1022"/>
      <c r="S40" s="292" t="s">
        <v>421</v>
      </c>
      <c r="T40" s="253"/>
      <c r="U40" s="1015" t="s">
        <v>467</v>
      </c>
      <c r="V40" s="1016"/>
    </row>
    <row r="41" spans="4:22" ht="15.6">
      <c r="D41" s="278"/>
      <c r="G41" s="278"/>
      <c r="J41" s="258"/>
      <c r="K41" s="256">
        <v>0.33</v>
      </c>
      <c r="L41" s="302"/>
      <c r="M41" s="307"/>
      <c r="N41" s="258"/>
      <c r="O41" s="258"/>
      <c r="P41" s="258"/>
      <c r="Q41" s="258"/>
      <c r="R41" s="258"/>
      <c r="S41" s="260"/>
      <c r="T41" s="258"/>
      <c r="U41" s="303"/>
      <c r="V41" s="303"/>
    </row>
    <row r="42" spans="4:22" ht="15.6">
      <c r="D42" s="278"/>
      <c r="G42" s="278"/>
      <c r="J42" s="258"/>
      <c r="K42" s="258"/>
      <c r="L42" s="291"/>
      <c r="M42" s="307"/>
      <c r="N42" s="1019"/>
      <c r="O42" s="1019"/>
      <c r="P42" s="258"/>
      <c r="Q42" s="1019"/>
      <c r="R42" s="1019"/>
      <c r="S42" s="260"/>
      <c r="T42" s="258"/>
      <c r="U42" s="303"/>
      <c r="V42" s="303"/>
    </row>
    <row r="43" spans="4:22" ht="15.6">
      <c r="D43" s="278"/>
      <c r="G43" s="281"/>
      <c r="H43" s="262" t="s">
        <v>562</v>
      </c>
      <c r="I43" s="298">
        <f>K44*L43</f>
        <v>1</v>
      </c>
      <c r="J43" s="250"/>
      <c r="K43" s="262" t="s">
        <v>582</v>
      </c>
      <c r="L43" s="300">
        <f>IF(M43=0,0,IF(M43=30,0.3,IF(M43=50,0.5,IF(M43=100,1,0))))</f>
        <v>1</v>
      </c>
      <c r="M43" s="308">
        <f>Condiciones!M16</f>
        <v>100</v>
      </c>
      <c r="N43" s="316">
        <v>1</v>
      </c>
      <c r="O43" s="316">
        <v>0.5</v>
      </c>
      <c r="P43" s="253">
        <v>0.3</v>
      </c>
      <c r="Q43" s="1022">
        <v>0</v>
      </c>
      <c r="R43" s="1022"/>
      <c r="S43" s="292" t="s">
        <v>421</v>
      </c>
      <c r="T43" s="253"/>
      <c r="U43" s="1015" t="s">
        <v>583</v>
      </c>
      <c r="V43" s="1016"/>
    </row>
    <row r="44" spans="4:22" ht="15.6">
      <c r="D44" s="278"/>
      <c r="H44" s="256">
        <v>0.05</v>
      </c>
      <c r="J44" s="258"/>
      <c r="K44" s="256">
        <v>1</v>
      </c>
      <c r="L44" s="258"/>
      <c r="M44" s="307"/>
      <c r="N44" s="258"/>
      <c r="O44" s="258"/>
      <c r="P44" s="258"/>
      <c r="Q44" s="258"/>
      <c r="R44" s="258"/>
      <c r="S44" s="258"/>
      <c r="T44" s="258"/>
      <c r="U44" s="258"/>
      <c r="V44" s="258"/>
    </row>
    <row r="45" spans="4:22" ht="15.6">
      <c r="D45" s="278"/>
      <c r="J45" s="258"/>
      <c r="K45" s="258"/>
      <c r="L45" s="257"/>
      <c r="M45" s="307"/>
      <c r="S45" s="260"/>
      <c r="T45" s="260"/>
      <c r="U45" s="248"/>
      <c r="V45" s="248"/>
    </row>
    <row r="46" spans="4:22" ht="15.6">
      <c r="D46" s="278"/>
      <c r="F46" s="257"/>
      <c r="G46" s="258"/>
      <c r="H46" s="258"/>
      <c r="I46" s="257"/>
      <c r="N46" s="323"/>
      <c r="O46" s="323"/>
      <c r="P46" s="260"/>
      <c r="Q46" s="323"/>
      <c r="R46" s="323"/>
    </row>
    <row r="47" spans="4:22" ht="15.6">
      <c r="D47" s="278"/>
      <c r="F47" s="257"/>
      <c r="G47" s="261"/>
      <c r="H47" s="262" t="s">
        <v>563</v>
      </c>
      <c r="I47" s="299">
        <f>L47</f>
        <v>0.51249739648421</v>
      </c>
      <c r="J47" s="293"/>
      <c r="K47" s="293"/>
      <c r="L47" s="299">
        <f>IF(M47&lt;N47, 0, IF(M47&gt;O47, 1, (1-EXP(-Q47*((ABS(M47-N47))/R47)^P47))/(1-EXP(-Q47*((ABS(O47-N47))/R47)^P47))))</f>
        <v>0.51249739648421</v>
      </c>
      <c r="M47" s="308">
        <f>Sociales!N16</f>
        <v>50</v>
      </c>
      <c r="N47" s="309">
        <v>0</v>
      </c>
      <c r="O47" s="310">
        <v>100</v>
      </c>
      <c r="P47" s="310">
        <v>1</v>
      </c>
      <c r="Q47" s="310">
        <v>0.01</v>
      </c>
      <c r="R47" s="316">
        <v>10</v>
      </c>
      <c r="S47" s="310" t="s">
        <v>403</v>
      </c>
      <c r="T47" s="310" t="s">
        <v>417</v>
      </c>
      <c r="U47" s="1015" t="s">
        <v>563</v>
      </c>
      <c r="V47" s="1016"/>
    </row>
    <row r="48" spans="4:22" ht="15.6">
      <c r="D48" s="255"/>
      <c r="E48" s="258"/>
      <c r="F48" s="257"/>
      <c r="G48" s="255"/>
      <c r="H48" s="256">
        <v>0.05</v>
      </c>
      <c r="I48" s="324"/>
      <c r="J48" s="157"/>
    </row>
    <row r="49" spans="4:23" ht="15.6">
      <c r="D49" s="255"/>
      <c r="E49" s="258"/>
      <c r="F49" s="257"/>
      <c r="G49" s="255"/>
      <c r="H49" s="314"/>
      <c r="I49" s="312"/>
    </row>
    <row r="50" spans="4:23" ht="15.6">
      <c r="D50" s="255"/>
      <c r="E50" s="258"/>
      <c r="F50" s="257"/>
      <c r="G50" s="255"/>
      <c r="H50" s="258"/>
      <c r="I50" s="257"/>
    </row>
    <row r="51" spans="4:23" ht="15.6">
      <c r="D51" s="255"/>
      <c r="E51" s="258"/>
      <c r="F51" s="257"/>
      <c r="G51" s="278"/>
      <c r="H51" s="262" t="s">
        <v>442</v>
      </c>
      <c r="I51" s="299">
        <f>L51</f>
        <v>1</v>
      </c>
      <c r="J51" s="325"/>
      <c r="K51" s="326"/>
      <c r="L51" s="299">
        <f>IF(M51&lt;N51, 0, IF(M51&gt;O51, 1, (1-EXP(-Q51*((ABS(M51-N51))/R51)^P51))/(1-EXP(-Q51*((ABS(O51-N51))/R51)^P51))))</f>
        <v>1</v>
      </c>
      <c r="M51" s="326">
        <f>Sociales!M24</f>
        <v>100</v>
      </c>
      <c r="N51" s="309">
        <v>0</v>
      </c>
      <c r="O51" s="310">
        <v>100</v>
      </c>
      <c r="P51" s="310">
        <v>1</v>
      </c>
      <c r="Q51" s="310">
        <v>0.01</v>
      </c>
      <c r="R51" s="310">
        <v>10</v>
      </c>
      <c r="S51" s="310" t="s">
        <v>403</v>
      </c>
      <c r="T51" s="310" t="s">
        <v>417</v>
      </c>
      <c r="U51" s="1015" t="s">
        <v>468</v>
      </c>
      <c r="V51" s="1016"/>
    </row>
    <row r="52" spans="4:23" ht="15.6">
      <c r="D52" s="255"/>
      <c r="E52" s="258"/>
      <c r="G52" s="278"/>
      <c r="H52" s="256">
        <v>0.1</v>
      </c>
      <c r="I52" s="257"/>
      <c r="J52" s="307"/>
      <c r="N52" s="258"/>
      <c r="O52" s="258"/>
      <c r="P52" s="258"/>
      <c r="Q52" s="258"/>
      <c r="R52" s="258"/>
      <c r="S52" s="260"/>
      <c r="T52" s="260"/>
      <c r="U52" s="303"/>
      <c r="V52" s="303"/>
    </row>
    <row r="53" spans="4:23" ht="15.6">
      <c r="D53" s="278"/>
      <c r="G53" s="255"/>
      <c r="H53" s="258"/>
      <c r="I53" s="257"/>
      <c r="J53" s="136"/>
      <c r="K53" s="319"/>
      <c r="L53" s="320"/>
      <c r="M53" s="321"/>
      <c r="N53" s="320"/>
      <c r="O53" s="320"/>
      <c r="P53" s="320"/>
      <c r="Q53" s="320"/>
      <c r="R53" s="320"/>
      <c r="S53" s="320"/>
      <c r="T53" s="319"/>
      <c r="U53" s="322"/>
      <c r="V53" s="322"/>
    </row>
    <row r="54" spans="4:23" ht="15.6">
      <c r="D54" s="278"/>
      <c r="G54" s="255"/>
      <c r="H54" s="258"/>
      <c r="I54" s="257"/>
      <c r="J54" s="261"/>
      <c r="K54" s="253" t="s">
        <v>565</v>
      </c>
      <c r="L54" s="299">
        <f>IF(M54&lt;N54, 0, IF(M54&gt;O54, 1, (1-EXP(-Q54*((ABS(M54-N54))/R54)^P54))/(1-EXP(-Q54*((ABS(O54-N54))/R54)^P54))))</f>
        <v>8.2338917687455229E-2</v>
      </c>
      <c r="M54" s="308">
        <f>Sociales!F15</f>
        <v>0.6875</v>
      </c>
      <c r="N54" s="253">
        <v>0.08</v>
      </c>
      <c r="O54" s="253">
        <v>7.5</v>
      </c>
      <c r="P54" s="253">
        <v>1</v>
      </c>
      <c r="Q54" s="253">
        <v>0.01</v>
      </c>
      <c r="R54" s="253">
        <v>6</v>
      </c>
      <c r="S54" s="310" t="s">
        <v>403</v>
      </c>
      <c r="T54" s="310" t="s">
        <v>417</v>
      </c>
      <c r="U54" s="1015" t="s">
        <v>565</v>
      </c>
      <c r="V54" s="1016"/>
    </row>
    <row r="55" spans="4:23" ht="15.6">
      <c r="D55" s="255"/>
      <c r="E55" s="258"/>
      <c r="G55" s="255"/>
      <c r="H55" s="258"/>
      <c r="I55" s="257"/>
      <c r="J55" s="255"/>
      <c r="K55" s="256">
        <v>0.8</v>
      </c>
      <c r="L55" s="257"/>
      <c r="M55" s="307"/>
      <c r="N55" s="258"/>
      <c r="O55" s="258"/>
      <c r="P55" s="258"/>
      <c r="Q55" s="258"/>
      <c r="R55" s="258"/>
      <c r="S55" s="260"/>
      <c r="T55" s="260"/>
      <c r="U55" s="303"/>
      <c r="V55" s="303"/>
      <c r="W55" s="77"/>
    </row>
    <row r="56" spans="4:23" ht="15.6">
      <c r="D56" s="255"/>
      <c r="E56" s="258"/>
      <c r="G56" s="255"/>
      <c r="H56" s="253" t="s">
        <v>564</v>
      </c>
      <c r="I56" s="299">
        <f>K55*L54+K58*L57</f>
        <v>0.26587113414996422</v>
      </c>
      <c r="J56" s="278"/>
      <c r="K56" s="258"/>
      <c r="L56" s="258"/>
      <c r="M56" s="307"/>
      <c r="N56" s="311" t="s">
        <v>418</v>
      </c>
      <c r="O56" s="311"/>
      <c r="P56" s="311"/>
      <c r="Q56" s="311" t="s">
        <v>419</v>
      </c>
      <c r="R56" s="311"/>
      <c r="S56" s="258"/>
      <c r="T56" s="258"/>
      <c r="U56" s="258"/>
      <c r="V56" s="258"/>
    </row>
    <row r="57" spans="4:23" ht="15.6">
      <c r="D57" s="250"/>
      <c r="E57" s="251" t="s">
        <v>412</v>
      </c>
      <c r="F57" s="252">
        <f>H48*I47+H52*I51+H57*I56+H61*I60+H64*I63</f>
        <v>0.42375256212200973</v>
      </c>
      <c r="G57" s="255"/>
      <c r="H57" s="256">
        <v>0.65</v>
      </c>
      <c r="I57" s="258"/>
      <c r="J57" s="281"/>
      <c r="K57" s="262" t="s">
        <v>440</v>
      </c>
      <c r="L57" s="298">
        <f>IF(M57="Alta",N57,Q57)</f>
        <v>1</v>
      </c>
      <c r="M57" s="308" t="str">
        <f>Sociales!F19</f>
        <v>Alta</v>
      </c>
      <c r="N57" s="309">
        <v>1</v>
      </c>
      <c r="O57" s="310"/>
      <c r="P57" s="310"/>
      <c r="Q57" s="310">
        <v>0.5</v>
      </c>
      <c r="R57" s="310"/>
      <c r="S57" s="310" t="s">
        <v>421</v>
      </c>
      <c r="T57" s="253"/>
      <c r="U57" s="1015" t="s">
        <v>440</v>
      </c>
      <c r="V57" s="1016"/>
    </row>
    <row r="58" spans="4:23" ht="15.6">
      <c r="D58" s="258"/>
      <c r="E58" s="256">
        <v>0.3</v>
      </c>
      <c r="F58" s="258"/>
      <c r="G58" s="255"/>
      <c r="H58" s="258"/>
      <c r="I58" s="258"/>
      <c r="J58" s="64"/>
      <c r="K58" s="318">
        <v>0.2</v>
      </c>
      <c r="L58" s="258"/>
      <c r="M58" s="307"/>
      <c r="N58" s="258"/>
      <c r="O58" s="258"/>
      <c r="P58" s="258"/>
      <c r="Q58" s="258"/>
      <c r="R58" s="258"/>
      <c r="S58" s="258"/>
      <c r="T58" s="258"/>
      <c r="U58" s="258"/>
      <c r="V58" s="258"/>
    </row>
    <row r="59" spans="4:23" ht="15.6">
      <c r="D59" s="258"/>
      <c r="E59" s="258"/>
      <c r="F59" s="258"/>
      <c r="G59" s="278"/>
      <c r="H59" s="313"/>
      <c r="I59" s="317"/>
      <c r="J59" s="327"/>
      <c r="K59" s="307"/>
      <c r="L59" s="323"/>
      <c r="M59" s="323"/>
      <c r="N59" s="260"/>
      <c r="O59" s="323"/>
      <c r="P59" s="323"/>
      <c r="Q59" s="260"/>
      <c r="R59" s="260"/>
      <c r="S59" s="303"/>
      <c r="T59" s="303"/>
    </row>
    <row r="60" spans="4:23" ht="15.6">
      <c r="D60" s="258"/>
      <c r="E60" s="258"/>
      <c r="F60" s="258"/>
      <c r="G60" s="278"/>
      <c r="H60" s="250" t="s">
        <v>510</v>
      </c>
      <c r="I60" s="299">
        <f>L60</f>
        <v>0.83540970066881659</v>
      </c>
      <c r="J60" s="310"/>
      <c r="K60" s="308" t="str">
        <f>Condiciones!K11</f>
        <v>Corta distancia</v>
      </c>
      <c r="L60" s="299">
        <f>IF(M60&gt;N60, 0, IF(M60&lt;O60, 1, (1-EXP(-Q60*((ABS(M60-N60))/R60)^P60))/(1-EXP(-Q60*((ABS(O60-N60))/R60)^P60))))</f>
        <v>0.83540970066881659</v>
      </c>
      <c r="M60" s="326">
        <f>Sociales!L19</f>
        <v>5</v>
      </c>
      <c r="N60" s="310">
        <v>30</v>
      </c>
      <c r="O60" s="310">
        <v>0</v>
      </c>
      <c r="P60" s="310">
        <v>1</v>
      </c>
      <c r="Q60" s="310">
        <v>0.01</v>
      </c>
      <c r="R60" s="310">
        <v>10</v>
      </c>
      <c r="S60" s="310" t="s">
        <v>403</v>
      </c>
      <c r="T60" s="310" t="s">
        <v>404</v>
      </c>
      <c r="U60" s="1015" t="s">
        <v>566</v>
      </c>
      <c r="V60" s="1016"/>
    </row>
    <row r="61" spans="4:23" ht="15.6">
      <c r="G61" s="278"/>
      <c r="H61" s="256">
        <v>0.15</v>
      </c>
      <c r="J61" s="258"/>
      <c r="K61" s="307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</row>
    <row r="62" spans="4:23" ht="15.6">
      <c r="G62" s="278"/>
      <c r="J62" s="64"/>
      <c r="K62" s="258"/>
      <c r="L62" s="258"/>
      <c r="M62" s="307"/>
      <c r="N62" s="311" t="s">
        <v>179</v>
      </c>
      <c r="O62" s="311"/>
      <c r="P62" s="260"/>
      <c r="Q62" s="311" t="s">
        <v>175</v>
      </c>
      <c r="R62" s="311"/>
      <c r="S62" s="258"/>
      <c r="T62" s="258"/>
      <c r="U62" s="258"/>
      <c r="V62" s="258"/>
    </row>
    <row r="63" spans="4:23" ht="15.6">
      <c r="G63" s="281"/>
      <c r="H63" s="58" t="s">
        <v>451</v>
      </c>
      <c r="I63" s="300">
        <f>K64*L63</f>
        <v>0</v>
      </c>
      <c r="J63" s="59"/>
      <c r="K63" s="253" t="s">
        <v>449</v>
      </c>
      <c r="L63" s="300">
        <f>IF(M63="No",Q63,N63)</f>
        <v>0</v>
      </c>
      <c r="M63" s="308" t="str">
        <f>Sociales!D23</f>
        <v>No</v>
      </c>
      <c r="N63" s="309">
        <v>1</v>
      </c>
      <c r="O63" s="310"/>
      <c r="P63" s="310"/>
      <c r="Q63" s="310">
        <v>0</v>
      </c>
      <c r="R63" s="310"/>
      <c r="S63" s="310" t="s">
        <v>420</v>
      </c>
      <c r="T63" s="253"/>
      <c r="U63" s="1015" t="s">
        <v>449</v>
      </c>
      <c r="V63" s="1016"/>
    </row>
    <row r="64" spans="4:23" ht="15.6">
      <c r="G64" s="64"/>
      <c r="H64" s="283">
        <v>0.05</v>
      </c>
      <c r="K64" s="283">
        <v>1</v>
      </c>
    </row>
    <row r="65" spans="6:6">
      <c r="F65" s="157"/>
    </row>
  </sheetData>
  <mergeCells count="39">
    <mergeCell ref="U38:V38"/>
    <mergeCell ref="Q43:R43"/>
    <mergeCell ref="N42:O42"/>
    <mergeCell ref="Q42:R42"/>
    <mergeCell ref="U43:V43"/>
    <mergeCell ref="U40:V40"/>
    <mergeCell ref="N40:O40"/>
    <mergeCell ref="Q40:R40"/>
    <mergeCell ref="N35:O35"/>
    <mergeCell ref="Q35:R35"/>
    <mergeCell ref="U36:V36"/>
    <mergeCell ref="N37:O37"/>
    <mergeCell ref="Q37:R37"/>
    <mergeCell ref="N36:O36"/>
    <mergeCell ref="Q36:R36"/>
    <mergeCell ref="U25:V25"/>
    <mergeCell ref="U8:V8"/>
    <mergeCell ref="U28:V28"/>
    <mergeCell ref="U30:V30"/>
    <mergeCell ref="U32:V32"/>
    <mergeCell ref="U14:V14"/>
    <mergeCell ref="U19:V19"/>
    <mergeCell ref="U21:V21"/>
    <mergeCell ref="U23:V23"/>
    <mergeCell ref="D4:E5"/>
    <mergeCell ref="F4:F5"/>
    <mergeCell ref="S5:T5"/>
    <mergeCell ref="G4:H5"/>
    <mergeCell ref="I4:I5"/>
    <mergeCell ref="J4:K5"/>
    <mergeCell ref="L4:L5"/>
    <mergeCell ref="M4:M5"/>
    <mergeCell ref="N4:T4"/>
    <mergeCell ref="U47:V47"/>
    <mergeCell ref="U63:V63"/>
    <mergeCell ref="U60:V60"/>
    <mergeCell ref="U57:V57"/>
    <mergeCell ref="U51:V51"/>
    <mergeCell ref="U54:V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topLeftCell="A31" zoomScaleNormal="100" workbookViewId="0">
      <selection activeCell="C18" sqref="C18"/>
    </sheetView>
  </sheetViews>
  <sheetFormatPr baseColWidth="10" defaultRowHeight="14.4"/>
  <cols>
    <col min="1" max="1" width="4.77734375" customWidth="1"/>
    <col min="2" max="2" width="12.77734375" customWidth="1"/>
    <col min="3" max="3" width="8.21875" customWidth="1"/>
    <col min="4" max="4" width="12.21875" customWidth="1"/>
    <col min="5" max="5" width="11.5546875" customWidth="1"/>
    <col min="6" max="6" width="19.5546875" customWidth="1"/>
    <col min="7" max="7" width="10.6640625" customWidth="1"/>
    <col min="8" max="8" width="6.5546875" customWidth="1"/>
    <col min="9" max="9" width="9.77734375" customWidth="1"/>
    <col min="10" max="10" width="28.77734375" customWidth="1"/>
    <col min="12" max="12" width="5.6640625" customWidth="1"/>
    <col min="13" max="13" width="7.44140625" customWidth="1"/>
    <col min="14" max="14" width="9.6640625" customWidth="1"/>
    <col min="15" max="15" width="16.33203125" customWidth="1"/>
    <col min="18" max="18" width="16" customWidth="1"/>
    <col min="19" max="19" width="11.77734375" customWidth="1"/>
    <col min="23" max="23" width="17.21875" customWidth="1"/>
  </cols>
  <sheetData>
    <row r="1" spans="1:24" ht="15" thickBot="1">
      <c r="A1" s="111"/>
      <c r="B1" s="114"/>
      <c r="C1" s="114"/>
      <c r="D1" s="114"/>
      <c r="E1" s="114"/>
      <c r="F1" s="109"/>
      <c r="G1" s="109"/>
      <c r="H1" s="114"/>
      <c r="I1" s="114"/>
      <c r="J1" s="109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40"/>
    </row>
    <row r="2" spans="1:24" ht="24" thickBot="1">
      <c r="A2" s="112"/>
      <c r="B2" s="104"/>
      <c r="C2" s="104"/>
      <c r="D2" s="104"/>
      <c r="E2" s="104"/>
      <c r="F2" s="740" t="s">
        <v>471</v>
      </c>
      <c r="G2" s="741"/>
      <c r="H2" s="107"/>
      <c r="I2" s="104"/>
      <c r="J2" s="432" t="s">
        <v>92</v>
      </c>
      <c r="K2" s="692" t="s">
        <v>93</v>
      </c>
      <c r="L2" s="693"/>
      <c r="M2" s="721" t="s">
        <v>94</v>
      </c>
      <c r="N2" s="722"/>
      <c r="O2" s="104"/>
      <c r="P2" s="226"/>
      <c r="Q2" s="227"/>
      <c r="R2" s="227"/>
      <c r="S2" s="227"/>
      <c r="T2" s="227"/>
      <c r="U2" s="228"/>
      <c r="W2" s="666" t="s">
        <v>618</v>
      </c>
      <c r="X2" s="667">
        <f>Resultados!N4</f>
        <v>0.71450435587292582</v>
      </c>
    </row>
    <row r="3" spans="1:24" ht="15.6">
      <c r="A3" s="112"/>
      <c r="B3" s="104"/>
      <c r="C3" s="104"/>
      <c r="D3" s="104"/>
      <c r="E3" s="104"/>
      <c r="F3" s="104"/>
      <c r="G3" s="104"/>
      <c r="H3" s="104"/>
      <c r="I3" s="104"/>
      <c r="J3" s="166" t="s">
        <v>27</v>
      </c>
      <c r="K3" s="58">
        <f>C48</f>
        <v>20</v>
      </c>
      <c r="L3" s="59" t="s">
        <v>9</v>
      </c>
      <c r="M3" s="416">
        <f>IF(C42&lt;G12, MAX(G27,G47,G41),G63)</f>
        <v>4</v>
      </c>
      <c r="N3" s="62">
        <f>IF(M3&lt;2,M3+1,M3)</f>
        <v>4</v>
      </c>
      <c r="O3" s="368" t="str">
        <f>IF(M3&lt;2,"No cumple,mín.2","")</f>
        <v/>
      </c>
      <c r="P3" s="229" t="s">
        <v>3</v>
      </c>
      <c r="Q3" s="230">
        <f>C18</f>
        <v>250</v>
      </c>
      <c r="R3" s="231"/>
      <c r="S3" s="231"/>
      <c r="T3" s="231"/>
      <c r="U3" s="232"/>
      <c r="W3" s="668" t="s">
        <v>619</v>
      </c>
      <c r="X3" s="669">
        <f>Resultados!N5</f>
        <v>0.93524440910753737</v>
      </c>
    </row>
    <row r="4" spans="1:24" ht="15.6">
      <c r="A4" s="112"/>
      <c r="B4" s="104"/>
      <c r="C4" s="104"/>
      <c r="D4" s="104"/>
      <c r="E4" s="104"/>
      <c r="F4" s="104"/>
      <c r="G4" s="104"/>
      <c r="H4" s="104"/>
      <c r="I4" s="104"/>
      <c r="J4" s="167" t="s">
        <v>28</v>
      </c>
      <c r="K4" s="58">
        <f>C49</f>
        <v>10</v>
      </c>
      <c r="L4" s="59" t="s">
        <v>9</v>
      </c>
      <c r="M4" s="416">
        <f>IF(C42&lt;G12, G53,G64)</f>
        <v>2</v>
      </c>
      <c r="N4" s="62">
        <f>IF(M4&lt;2,M4+1,M4)</f>
        <v>2</v>
      </c>
      <c r="O4" s="368" t="str">
        <f>IF(M4&lt;2,"No cumple,mín.2","")</f>
        <v/>
      </c>
      <c r="P4" s="233"/>
      <c r="Q4" s="234">
        <f>2*C37+N3*K3+2*K5+(N3-1)*MAX(1.25*C36,MAX(C48:C50),20)</f>
        <v>220</v>
      </c>
      <c r="R4" s="231"/>
      <c r="S4" s="231"/>
      <c r="T4" s="231"/>
      <c r="U4" s="232"/>
      <c r="W4" s="670" t="s">
        <v>620</v>
      </c>
      <c r="X4" s="671">
        <f>Resultados!N6</f>
        <v>0.78570552213208578</v>
      </c>
    </row>
    <row r="5" spans="1:24" ht="16.2" thickBot="1">
      <c r="A5" s="112"/>
      <c r="B5" s="104"/>
      <c r="C5" s="104"/>
      <c r="D5" s="104"/>
      <c r="E5" s="104"/>
      <c r="F5" s="104"/>
      <c r="G5" s="104"/>
      <c r="H5" s="104"/>
      <c r="I5" s="104"/>
      <c r="J5" s="168" t="s">
        <v>29</v>
      </c>
      <c r="K5" s="60">
        <f>C50</f>
        <v>10</v>
      </c>
      <c r="L5" s="415" t="s">
        <v>9</v>
      </c>
      <c r="M5" s="723" t="str">
        <f>IF(O27&lt;2,IF(O42&gt;Q41,"1 cada"," Aumentar Øt."),IF(O49&gt;Q48,"1 cada","Aumentar Øt."))</f>
        <v>1 cada</v>
      </c>
      <c r="N5" s="724"/>
      <c r="O5" s="130"/>
      <c r="P5" s="235"/>
      <c r="Q5" s="236" t="str">
        <f>IF(Q4&lt;=Q3,"Cumple","No cumple")</f>
        <v>Cumple</v>
      </c>
      <c r="R5" s="237"/>
      <c r="S5" s="237"/>
      <c r="T5" s="237"/>
      <c r="U5" s="238"/>
      <c r="W5" s="670" t="s">
        <v>621</v>
      </c>
      <c r="X5" s="671">
        <f>Resultados!N7</f>
        <v>0.42375256212200973</v>
      </c>
    </row>
    <row r="6" spans="1:24" ht="15" thickBot="1">
      <c r="A6" s="112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89">
        <f>IF(O27&lt;2,P40,P47)</f>
        <v>20</v>
      </c>
      <c r="O6" s="290" t="s">
        <v>84</v>
      </c>
      <c r="P6" s="104"/>
      <c r="Q6" s="104"/>
      <c r="R6" s="104"/>
      <c r="S6" s="104"/>
      <c r="T6" s="104"/>
      <c r="U6" s="84"/>
      <c r="W6" s="742" t="str">
        <f>IF(AND(Resultados!K18="cumple",Resultados!G19="cumple",Resultados!K23="cumple",Resultados!K27="cumple",Resultados!K31="cumple",Fisuración!O22="Cumple",Fisuración!H17="Cumple",Resultados!Q19="Cumple",Resultados!Q20="Cumple",Resultados!Q24="Cumple",Resultados!Q28="Cumple",Resultados!Q29="Cumple"),"Cumple requisitos","Hay requisitos que no se cumplen")</f>
        <v>Cumple requisitos</v>
      </c>
      <c r="X6" s="742"/>
    </row>
    <row r="7" spans="1:24" ht="15" thickBot="1">
      <c r="A7" s="112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84"/>
    </row>
    <row r="8" spans="1:24" ht="21">
      <c r="A8" s="110"/>
      <c r="B8" s="725" t="s">
        <v>0</v>
      </c>
      <c r="C8" s="726"/>
      <c r="D8" s="727"/>
      <c r="E8" s="104"/>
      <c r="F8" s="728" t="s">
        <v>60</v>
      </c>
      <c r="G8" s="729"/>
      <c r="H8" s="729"/>
      <c r="I8" s="729"/>
      <c r="J8" s="730"/>
      <c r="K8" s="104"/>
      <c r="L8" s="104"/>
      <c r="M8" s="104"/>
      <c r="N8" s="728" t="s">
        <v>61</v>
      </c>
      <c r="O8" s="729"/>
      <c r="P8" s="729"/>
      <c r="Q8" s="729"/>
      <c r="R8" s="730"/>
      <c r="S8" s="104"/>
      <c r="T8" s="104"/>
      <c r="U8" s="84"/>
    </row>
    <row r="9" spans="1:24" ht="15" thickBot="1">
      <c r="A9" s="112"/>
      <c r="B9" s="2" t="s">
        <v>631</v>
      </c>
      <c r="C9" s="3">
        <f>(C18/1000)*(C17/1000)*Dosificación!C7/100</f>
        <v>3.3</v>
      </c>
      <c r="D9" s="4" t="s">
        <v>610</v>
      </c>
      <c r="E9" s="104"/>
      <c r="F9" s="2" t="s">
        <v>34</v>
      </c>
      <c r="G9" s="3">
        <f>C17-(MAX(1.25*C36,C37)+C50+C48/2)</f>
        <v>500</v>
      </c>
      <c r="H9" s="3" t="s">
        <v>9</v>
      </c>
      <c r="I9" s="3"/>
      <c r="J9" s="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84"/>
    </row>
    <row r="10" spans="1:24" ht="16.2" thickBot="1">
      <c r="A10" s="112"/>
      <c r="B10" s="158" t="s">
        <v>548</v>
      </c>
      <c r="C10" s="596">
        <v>13.5</v>
      </c>
      <c r="D10" s="57" t="s">
        <v>610</v>
      </c>
      <c r="E10" s="104"/>
      <c r="F10" s="2" t="s">
        <v>35</v>
      </c>
      <c r="G10" s="14">
        <f>Def_Rotura_Hormigon/(Def_Lim_Elast_Acero+Def_Rotura_Hormigon)</f>
        <v>0.61685823754789271</v>
      </c>
      <c r="H10" s="3" t="s">
        <v>36</v>
      </c>
      <c r="I10" s="15">
        <f>G10*G9</f>
        <v>308.42911877394636</v>
      </c>
      <c r="J10" s="4" t="s">
        <v>9</v>
      </c>
      <c r="K10" s="104"/>
      <c r="L10" s="104"/>
      <c r="M10" s="104"/>
      <c r="N10" s="710" t="s">
        <v>62</v>
      </c>
      <c r="O10" s="711"/>
      <c r="P10" s="711"/>
      <c r="Q10" s="711"/>
      <c r="R10" s="712"/>
      <c r="S10" s="104"/>
      <c r="T10" s="104"/>
      <c r="U10" s="84"/>
    </row>
    <row r="11" spans="1:24" ht="16.2" thickBot="1">
      <c r="A11" s="112"/>
      <c r="B11" s="2" t="s">
        <v>434</v>
      </c>
      <c r="C11" s="420">
        <v>42.5</v>
      </c>
      <c r="D11" s="4" t="s">
        <v>610</v>
      </c>
      <c r="E11" s="104"/>
      <c r="F11" s="2" t="s">
        <v>37</v>
      </c>
      <c r="G11" s="3">
        <v>0.8</v>
      </c>
      <c r="H11" s="3" t="s">
        <v>38</v>
      </c>
      <c r="I11" s="3">
        <f>G11*I10</f>
        <v>246.7432950191571</v>
      </c>
      <c r="J11" s="4" t="s">
        <v>9</v>
      </c>
      <c r="K11" s="104"/>
      <c r="L11" s="104"/>
      <c r="M11" s="104"/>
      <c r="N11" s="19" t="s">
        <v>63</v>
      </c>
      <c r="O11" s="27">
        <f>0.3*C25*C18*G9/1000</f>
        <v>1000</v>
      </c>
      <c r="P11" s="580" t="s">
        <v>5</v>
      </c>
      <c r="Q11" s="580"/>
      <c r="R11" s="581"/>
      <c r="S11" s="104"/>
      <c r="T11" s="104"/>
      <c r="U11" s="84"/>
    </row>
    <row r="12" spans="1:24" ht="16.2" thickBot="1">
      <c r="A12" s="112"/>
      <c r="B12" s="13" t="s">
        <v>438</v>
      </c>
      <c r="C12" s="420">
        <v>1.35</v>
      </c>
      <c r="D12" s="4" t="s">
        <v>10</v>
      </c>
      <c r="E12" s="104"/>
      <c r="F12" s="2" t="s">
        <v>39</v>
      </c>
      <c r="G12" s="16">
        <f>C25*C18*I11*(G9-I11/2)/1000000</f>
        <v>619.53680460748762</v>
      </c>
      <c r="H12" s="3" t="s">
        <v>26</v>
      </c>
      <c r="I12" s="3"/>
      <c r="J12" s="4"/>
      <c r="K12" s="104"/>
      <c r="L12" s="104"/>
      <c r="M12" s="104"/>
      <c r="N12" s="65" t="s">
        <v>626</v>
      </c>
      <c r="O12" s="66">
        <f>(C20-C19)*C41/C20</f>
        <v>193.66574999999997</v>
      </c>
      <c r="P12" s="66" t="s">
        <v>5</v>
      </c>
      <c r="Q12" s="66"/>
      <c r="R12" s="67"/>
      <c r="S12" s="104"/>
      <c r="T12" s="104"/>
      <c r="U12" s="84"/>
    </row>
    <row r="13" spans="1:24" ht="16.2" thickBot="1">
      <c r="A13" s="112"/>
      <c r="B13" s="13" t="s">
        <v>437</v>
      </c>
      <c r="C13" s="420">
        <v>1.5</v>
      </c>
      <c r="D13" s="4" t="s">
        <v>10</v>
      </c>
      <c r="E13" s="104"/>
      <c r="F13" s="2" t="s">
        <v>40</v>
      </c>
      <c r="G13" s="371" t="str">
        <f>IF(C42&lt;G12, "si","no")</f>
        <v>si</v>
      </c>
      <c r="H13" s="716" t="str">
        <f>IF(C42&lt;G12, "Rotura dúctil. No se necesita As2 (cuantía mínima).","Rotura frágil. Se necesita As2")</f>
        <v>Rotura dúctil. No se necesita As2 (cuantía mínima).</v>
      </c>
      <c r="I13" s="716"/>
      <c r="J13" s="717"/>
      <c r="K13" s="104"/>
      <c r="L13" s="104"/>
      <c r="M13" s="104"/>
      <c r="N13" s="26" t="s">
        <v>625</v>
      </c>
      <c r="O13" s="31" t="str">
        <f>IF(C41&lt;=O11, "si","no")</f>
        <v>si</v>
      </c>
      <c r="P13" s="713" t="str">
        <f>IF(C41&lt;=O11, "Cumple. La sección y fcd son suficientes.","No cumple. Incrementar b, d o fcd.")</f>
        <v>Cumple. La sección y fcd son suficientes.</v>
      </c>
      <c r="Q13" s="714"/>
      <c r="R13" s="715"/>
      <c r="S13" s="104"/>
      <c r="T13" s="104"/>
      <c r="U13" s="84"/>
    </row>
    <row r="14" spans="1:24" ht="16.2" thickBot="1">
      <c r="A14" s="112"/>
      <c r="B14" s="2" t="s">
        <v>435</v>
      </c>
      <c r="C14" s="421">
        <f>C12*(C10+C9/2)+C13*C11</f>
        <v>84.202500000000001</v>
      </c>
      <c r="D14" s="10" t="s">
        <v>610</v>
      </c>
      <c r="E14" s="104"/>
      <c r="F14" s="17" t="s">
        <v>89</v>
      </c>
      <c r="G14" s="53">
        <f>IF(C42&lt;G12, 1,2)</f>
        <v>1</v>
      </c>
      <c r="H14" s="53" t="str">
        <f>IF(C42&lt;G12, " Cuantía mínima de As2.","Se necesita As2")</f>
        <v xml:space="preserve"> Cuantía mínima de As2.</v>
      </c>
      <c r="I14" s="53"/>
      <c r="J14" s="54"/>
      <c r="K14" s="104"/>
      <c r="L14" s="104"/>
      <c r="S14" s="104"/>
      <c r="T14" s="104"/>
      <c r="U14" s="84"/>
    </row>
    <row r="15" spans="1:24" ht="16.2" thickBot="1">
      <c r="A15" s="112"/>
      <c r="B15" s="2" t="s">
        <v>436</v>
      </c>
      <c r="C15" s="42">
        <f>(C10+C9/2)+C11</f>
        <v>57.65</v>
      </c>
      <c r="D15" s="10" t="s">
        <v>610</v>
      </c>
      <c r="E15" s="104"/>
      <c r="F15" s="104"/>
      <c r="G15" s="104"/>
      <c r="H15" s="104"/>
      <c r="I15" s="104"/>
      <c r="J15" s="104"/>
      <c r="K15" s="104"/>
      <c r="L15" s="104"/>
      <c r="S15" s="104"/>
      <c r="T15" s="104"/>
      <c r="U15" s="84"/>
    </row>
    <row r="16" spans="1:24" ht="16.2" thickBot="1">
      <c r="A16" s="112"/>
      <c r="B16" s="2" t="s">
        <v>1</v>
      </c>
      <c r="C16" s="422">
        <v>5</v>
      </c>
      <c r="D16" s="10" t="s">
        <v>6</v>
      </c>
      <c r="E16" s="601" t="str">
        <f>IF(AND(G14&lt;2,G25&gt;G39,G25&gt;G45),"SI","NO")</f>
        <v>SI</v>
      </c>
      <c r="F16" s="710" t="s">
        <v>41</v>
      </c>
      <c r="G16" s="711"/>
      <c r="H16" s="711"/>
      <c r="I16" s="711"/>
      <c r="J16" s="712"/>
      <c r="K16" s="104"/>
      <c r="L16" s="104"/>
      <c r="M16" s="104"/>
      <c r="N16" s="710" t="s">
        <v>64</v>
      </c>
      <c r="O16" s="711"/>
      <c r="P16" s="711"/>
      <c r="Q16" s="711"/>
      <c r="R16" s="712"/>
      <c r="S16" s="104"/>
      <c r="T16" s="104"/>
      <c r="U16" s="84"/>
    </row>
    <row r="17" spans="1:21" ht="17.399999999999999" thickBot="1">
      <c r="A17" s="112"/>
      <c r="B17" s="2" t="s">
        <v>2</v>
      </c>
      <c r="C17" s="422">
        <v>550</v>
      </c>
      <c r="D17" s="10" t="s">
        <v>9</v>
      </c>
      <c r="E17" s="104"/>
      <c r="F17" s="19" t="s">
        <v>42</v>
      </c>
      <c r="G17" s="20">
        <f>C24/(C25*C18)</f>
        <v>6.5217391304347824E-2</v>
      </c>
      <c r="H17" s="20" t="s">
        <v>44</v>
      </c>
      <c r="I17" s="20"/>
      <c r="J17" s="21"/>
      <c r="K17" s="104"/>
      <c r="L17" s="104"/>
      <c r="M17" s="104"/>
      <c r="N17" s="754" t="s">
        <v>65</v>
      </c>
      <c r="O17" s="755"/>
      <c r="P17" s="755"/>
      <c r="Q17" s="755"/>
      <c r="R17" s="756"/>
      <c r="S17" s="104"/>
      <c r="T17" s="104"/>
      <c r="U17" s="84"/>
    </row>
    <row r="18" spans="1:21" ht="16.8" thickBot="1">
      <c r="A18" s="112"/>
      <c r="B18" s="2" t="s">
        <v>3</v>
      </c>
      <c r="C18" s="422">
        <v>250</v>
      </c>
      <c r="D18" s="10" t="s">
        <v>9</v>
      </c>
      <c r="E18" s="104"/>
      <c r="F18" s="2" t="s">
        <v>52</v>
      </c>
      <c r="G18" s="369">
        <f>2*G9</f>
        <v>1000</v>
      </c>
      <c r="H18" s="18" t="s">
        <v>45</v>
      </c>
      <c r="I18" s="370">
        <f>2*C42*10^6/(C25*C18)</f>
        <v>72750.959999999992</v>
      </c>
      <c r="J18" s="22" t="s">
        <v>43</v>
      </c>
      <c r="K18" s="123"/>
      <c r="L18" s="104"/>
      <c r="M18" s="104"/>
      <c r="N18" s="563" t="s">
        <v>66</v>
      </c>
      <c r="O18" s="564"/>
      <c r="P18" s="564"/>
      <c r="Q18" s="564"/>
      <c r="R18" s="565"/>
      <c r="S18" s="104"/>
      <c r="T18" s="104"/>
      <c r="U18" s="84"/>
    </row>
    <row r="19" spans="1:21">
      <c r="A19" s="112"/>
      <c r="B19" s="11" t="s">
        <v>281</v>
      </c>
      <c r="C19" s="570">
        <v>0.2</v>
      </c>
      <c r="D19" s="12" t="s">
        <v>6</v>
      </c>
      <c r="E19" s="104"/>
      <c r="F19" s="2" t="s">
        <v>46</v>
      </c>
      <c r="G19" s="3">
        <v>1</v>
      </c>
      <c r="H19" s="39" t="s">
        <v>47</v>
      </c>
      <c r="I19" s="39"/>
      <c r="J19" s="40"/>
      <c r="K19" s="123"/>
      <c r="L19" s="104"/>
      <c r="M19" s="104"/>
      <c r="N19" s="2" t="s">
        <v>67</v>
      </c>
      <c r="O19" s="23">
        <f>IF(1+(200/G9)^0.5&gt;2,2,1+(200/G9)^0.5)</f>
        <v>1.632455532033676</v>
      </c>
      <c r="P19" s="561"/>
      <c r="Q19" s="561"/>
      <c r="R19" s="562"/>
      <c r="S19" s="104"/>
      <c r="T19" s="104"/>
      <c r="U19" s="84"/>
    </row>
    <row r="20" spans="1:21" ht="15.6">
      <c r="A20" s="112"/>
      <c r="B20" s="2" t="s">
        <v>538</v>
      </c>
      <c r="C20" s="3">
        <f>C16-C19</f>
        <v>4.8</v>
      </c>
      <c r="D20" s="10" t="s">
        <v>6</v>
      </c>
      <c r="E20" s="104"/>
      <c r="F20" s="2" t="s">
        <v>48</v>
      </c>
      <c r="G20" s="3">
        <f>-G18</f>
        <v>-1000</v>
      </c>
      <c r="H20" s="39" t="s">
        <v>49</v>
      </c>
      <c r="I20" s="39"/>
      <c r="J20" s="40"/>
      <c r="K20" s="123"/>
      <c r="L20" s="104"/>
      <c r="M20" s="104"/>
      <c r="N20" s="563" t="s">
        <v>68</v>
      </c>
      <c r="O20" s="564"/>
      <c r="P20" s="564"/>
      <c r="Q20" s="564"/>
      <c r="R20" s="565"/>
      <c r="S20" s="104"/>
      <c r="T20" s="104"/>
      <c r="U20" s="84"/>
    </row>
    <row r="21" spans="1:21" ht="17.399999999999999" thickBot="1">
      <c r="A21" s="112"/>
      <c r="B21" s="158" t="s">
        <v>13</v>
      </c>
      <c r="C21" s="569">
        <v>500</v>
      </c>
      <c r="D21" s="502" t="s">
        <v>7</v>
      </c>
      <c r="E21" s="104"/>
      <c r="F21" s="2" t="s">
        <v>50</v>
      </c>
      <c r="G21" s="6">
        <f>I18</f>
        <v>72750.959999999992</v>
      </c>
      <c r="H21" s="39" t="s">
        <v>51</v>
      </c>
      <c r="I21" s="39"/>
      <c r="J21" s="40"/>
      <c r="K21" s="123"/>
      <c r="L21" s="104"/>
      <c r="M21" s="104"/>
      <c r="N21" s="2" t="s">
        <v>69</v>
      </c>
      <c r="O21" s="24">
        <f>IF(Q21/(C18*G9)&gt;0.02,0.02,Q21/(C18*G9))</f>
        <v>1.0053096491487338E-2</v>
      </c>
      <c r="P21" s="142" t="s">
        <v>277</v>
      </c>
      <c r="Q21" s="143">
        <f>N3*C51</f>
        <v>1256.6370614359173</v>
      </c>
      <c r="R21" s="47" t="s">
        <v>96</v>
      </c>
      <c r="S21" s="104"/>
      <c r="T21" s="104"/>
      <c r="U21" s="84"/>
    </row>
    <row r="22" spans="1:21" ht="16.2" thickBot="1">
      <c r="A22" s="112"/>
      <c r="B22" s="11" t="s">
        <v>14</v>
      </c>
      <c r="C22" s="501">
        <v>40</v>
      </c>
      <c r="D22" s="12" t="s">
        <v>7</v>
      </c>
      <c r="E22" s="104"/>
      <c r="F22" s="2" t="s">
        <v>53</v>
      </c>
      <c r="G22" s="6">
        <f>(-G20+(G20^2-4*G19*G21)^0.5)/(2*G19)</f>
        <v>921.00954858530235</v>
      </c>
      <c r="H22" s="3" t="s">
        <v>9</v>
      </c>
      <c r="I22" s="39" t="str">
        <f>IF(G22&gt;C17,"No (mayor que el canto)", "Si")</f>
        <v>No (mayor que el canto)</v>
      </c>
      <c r="J22" s="40"/>
      <c r="K22" s="123"/>
      <c r="L22" s="104"/>
      <c r="M22" s="104"/>
      <c r="N22" s="563" t="s">
        <v>70</v>
      </c>
      <c r="O22" s="564"/>
      <c r="P22" s="564"/>
      <c r="Q22" s="564"/>
      <c r="R22" s="565"/>
      <c r="S22" s="104"/>
      <c r="T22" s="104"/>
      <c r="U22" s="84"/>
    </row>
    <row r="23" spans="1:21" ht="15.6">
      <c r="A23" s="112"/>
      <c r="B23" s="594" t="s">
        <v>612</v>
      </c>
      <c r="C23" s="595"/>
      <c r="D23" s="505"/>
      <c r="E23" s="104"/>
      <c r="F23" s="11" t="s">
        <v>54</v>
      </c>
      <c r="G23" s="41">
        <f>(-G20-(G20^2-4*G19*G21)^0.5)/(2*G19)</f>
        <v>78.990451414697702</v>
      </c>
      <c r="H23" s="42" t="s">
        <v>9</v>
      </c>
      <c r="I23" s="43" t="str">
        <f>IF(G23&gt;C17,"No (mayor que el canto)", "Si")</f>
        <v>Si</v>
      </c>
      <c r="J23" s="44"/>
      <c r="K23" s="123"/>
      <c r="L23" s="104"/>
      <c r="M23" s="104"/>
      <c r="N23" s="2" t="s">
        <v>71</v>
      </c>
      <c r="O23" s="25">
        <f>(((0.15/Coef_Seg_Hormigón)*O19*(100*O21*C22)^(1/3))*C18*G9)/1000</f>
        <v>69.909788312171287</v>
      </c>
      <c r="P23" s="559" t="s">
        <v>5</v>
      </c>
      <c r="Q23" s="559"/>
      <c r="R23" s="560"/>
      <c r="S23" s="104"/>
      <c r="T23" s="104"/>
      <c r="U23" s="84"/>
    </row>
    <row r="24" spans="1:21" ht="15.6">
      <c r="A24" s="112"/>
      <c r="B24" s="158" t="s">
        <v>15</v>
      </c>
      <c r="C24" s="421">
        <f>C21/coef_Seg_Acero</f>
        <v>434.78260869565219</v>
      </c>
      <c r="D24" s="502" t="s">
        <v>8</v>
      </c>
      <c r="E24" s="104"/>
      <c r="F24" s="2" t="s">
        <v>55</v>
      </c>
      <c r="G24" s="45">
        <f>MIN(G22:G23)</f>
        <v>78.990451414697702</v>
      </c>
      <c r="H24" s="46" t="s">
        <v>9</v>
      </c>
      <c r="I24" s="46"/>
      <c r="J24" s="47"/>
      <c r="K24" s="123"/>
      <c r="L24" s="104"/>
      <c r="M24" s="104"/>
      <c r="N24" s="563" t="s">
        <v>72</v>
      </c>
      <c r="O24" s="564"/>
      <c r="P24" s="564"/>
      <c r="Q24" s="564"/>
      <c r="R24" s="565"/>
      <c r="S24" s="104"/>
      <c r="T24" s="104"/>
      <c r="U24" s="84"/>
    </row>
    <row r="25" spans="1:21" ht="17.399999999999999" thickBot="1">
      <c r="A25" s="112"/>
      <c r="B25" s="2" t="s">
        <v>16</v>
      </c>
      <c r="C25" s="423">
        <f>C22/Coef_Seg_Hormigón</f>
        <v>26.666666666666668</v>
      </c>
      <c r="D25" s="10" t="s">
        <v>8</v>
      </c>
      <c r="E25" s="104"/>
      <c r="F25" s="2" t="s">
        <v>56</v>
      </c>
      <c r="G25" s="6">
        <f>G24/G17</f>
        <v>1211.1869216920315</v>
      </c>
      <c r="H25" s="46" t="s">
        <v>31</v>
      </c>
      <c r="I25" s="46"/>
      <c r="J25" s="47"/>
      <c r="K25" s="123"/>
      <c r="L25" s="104"/>
      <c r="M25" s="104"/>
      <c r="N25" s="65" t="s">
        <v>627</v>
      </c>
      <c r="O25" s="66">
        <f>(C20-C19-2*(G9/1000))*C41/C20</f>
        <v>151.56449999999998</v>
      </c>
      <c r="P25" s="66" t="s">
        <v>5</v>
      </c>
      <c r="Q25" s="66"/>
      <c r="R25" s="67"/>
      <c r="S25" s="104"/>
      <c r="T25" s="104"/>
      <c r="U25" s="84"/>
    </row>
    <row r="26" spans="1:21" ht="16.2" thickBot="1">
      <c r="A26" s="112"/>
      <c r="B26" s="2" t="s">
        <v>17</v>
      </c>
      <c r="C26" s="422">
        <v>1.1499999999999999</v>
      </c>
      <c r="D26" s="10" t="s">
        <v>10</v>
      </c>
      <c r="E26" s="104"/>
      <c r="F26" s="2" t="s">
        <v>59</v>
      </c>
      <c r="G26" s="6">
        <f>G25/C51</f>
        <v>3.8553277119108635</v>
      </c>
      <c r="H26" s="46"/>
      <c r="I26" s="46"/>
      <c r="J26" s="47"/>
      <c r="K26" s="123"/>
      <c r="L26" s="104"/>
      <c r="M26" s="104"/>
      <c r="N26" s="51" t="s">
        <v>73</v>
      </c>
      <c r="O26" s="52" t="str">
        <f>IF(C41&gt;O23, "no","si")</f>
        <v>no</v>
      </c>
      <c r="P26" s="718" t="str">
        <f>IF(C41&gt;O23, "No cumple. Necesita Aα.","Cumple. No hace falta Aα (cuantía mínima).")</f>
        <v>No cumple. Necesita Aα.</v>
      </c>
      <c r="Q26" s="719"/>
      <c r="R26" s="720"/>
      <c r="S26" s="104"/>
      <c r="T26" s="104"/>
      <c r="U26" s="84"/>
    </row>
    <row r="27" spans="1:21" ht="16.2" thickBot="1">
      <c r="A27" s="112"/>
      <c r="B27" s="17" t="s">
        <v>18</v>
      </c>
      <c r="C27" s="422">
        <v>1.5</v>
      </c>
      <c r="D27" s="487" t="s">
        <v>10</v>
      </c>
      <c r="E27" s="104"/>
      <c r="F27" s="2" t="s">
        <v>57</v>
      </c>
      <c r="G27" s="3">
        <f>ROUNDUP(G26,0)</f>
        <v>4</v>
      </c>
      <c r="H27" s="46"/>
      <c r="I27" s="46"/>
      <c r="J27" s="47"/>
      <c r="K27" s="123"/>
      <c r="M27" s="104"/>
      <c r="N27" s="55" t="s">
        <v>616</v>
      </c>
      <c r="O27" s="582">
        <f>IF(C41&gt;O23, 1,2)</f>
        <v>1</v>
      </c>
      <c r="P27" s="53"/>
      <c r="Q27" s="53"/>
      <c r="R27" s="54"/>
      <c r="S27" s="104"/>
      <c r="T27" s="104"/>
      <c r="U27" s="84"/>
    </row>
    <row r="28" spans="1:21" ht="17.399999999999999" thickBot="1">
      <c r="A28" s="112"/>
      <c r="B28" s="594" t="s">
        <v>613</v>
      </c>
      <c r="C28" s="504"/>
      <c r="D28" s="505"/>
      <c r="E28" s="104"/>
      <c r="F28" s="17" t="s">
        <v>58</v>
      </c>
      <c r="G28" s="48">
        <f>G27*C51</f>
        <v>1256.6370614359173</v>
      </c>
      <c r="H28" s="49" t="s">
        <v>31</v>
      </c>
      <c r="I28" s="49"/>
      <c r="J28" s="50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84"/>
    </row>
    <row r="29" spans="1:21" ht="16.2" thickBot="1">
      <c r="A29" s="112"/>
      <c r="B29" s="2" t="s">
        <v>15</v>
      </c>
      <c r="C29" s="3">
        <f>C21/C31</f>
        <v>500</v>
      </c>
      <c r="D29" s="10" t="s">
        <v>8</v>
      </c>
      <c r="E29" s="104"/>
      <c r="F29" s="411"/>
      <c r="G29" s="411"/>
      <c r="H29" s="411"/>
      <c r="I29" s="411"/>
      <c r="J29" s="411"/>
      <c r="K29" s="104"/>
      <c r="L29" s="104"/>
      <c r="S29" s="104"/>
      <c r="T29" s="104"/>
      <c r="U29" s="84"/>
    </row>
    <row r="30" spans="1:21" ht="18.600000000000001" thickBot="1">
      <c r="A30" s="112"/>
      <c r="B30" s="2" t="s">
        <v>16</v>
      </c>
      <c r="C30" s="42">
        <f>C22/C32</f>
        <v>40</v>
      </c>
      <c r="D30" s="10" t="s">
        <v>8</v>
      </c>
      <c r="E30" s="411"/>
      <c r="F30" s="731" t="s">
        <v>533</v>
      </c>
      <c r="G30" s="732"/>
      <c r="H30" s="732"/>
      <c r="I30" s="733"/>
      <c r="J30" s="411"/>
      <c r="K30" s="104"/>
      <c r="L30" s="104"/>
      <c r="M30" s="430" t="str">
        <f>IF(O27&lt;2,"SI","NO")</f>
        <v>SI</v>
      </c>
      <c r="N30" s="710" t="s">
        <v>615</v>
      </c>
      <c r="O30" s="711"/>
      <c r="P30" s="711"/>
      <c r="Q30" s="711"/>
      <c r="R30" s="712"/>
      <c r="S30" s="104"/>
      <c r="T30" s="104"/>
      <c r="U30" s="84"/>
    </row>
    <row r="31" spans="1:21" ht="16.2" thickBot="1">
      <c r="A31" s="112"/>
      <c r="B31" s="2" t="s">
        <v>17</v>
      </c>
      <c r="C31" s="397">
        <v>1</v>
      </c>
      <c r="D31" s="10" t="s">
        <v>10</v>
      </c>
      <c r="E31" s="411"/>
      <c r="F31" s="734" t="s">
        <v>281</v>
      </c>
      <c r="G31" s="735"/>
      <c r="H31" s="412">
        <f>G24/0.8</f>
        <v>98.738064268372128</v>
      </c>
      <c r="I31" s="4" t="s">
        <v>9</v>
      </c>
      <c r="J31" s="411"/>
      <c r="K31" s="104"/>
      <c r="L31" s="104"/>
      <c r="M31" s="104"/>
      <c r="N31" s="566" t="s">
        <v>74</v>
      </c>
      <c r="O31" s="567"/>
      <c r="P31" s="567"/>
      <c r="Q31" s="567"/>
      <c r="R31" s="568"/>
      <c r="S31" s="104"/>
      <c r="T31" s="104"/>
      <c r="U31" s="84"/>
    </row>
    <row r="32" spans="1:21" ht="16.2" thickBot="1">
      <c r="A32" s="112"/>
      <c r="B32" s="17" t="s">
        <v>18</v>
      </c>
      <c r="C32" s="397">
        <v>1</v>
      </c>
      <c r="D32" s="487" t="s">
        <v>10</v>
      </c>
      <c r="E32" s="411"/>
      <c r="F32" s="734" t="s">
        <v>534</v>
      </c>
      <c r="G32" s="735"/>
      <c r="H32" s="412">
        <v>0</v>
      </c>
      <c r="I32" s="4" t="s">
        <v>9</v>
      </c>
      <c r="J32" s="411"/>
      <c r="K32" s="104"/>
      <c r="L32" s="104"/>
      <c r="M32" s="104"/>
      <c r="N32" s="2" t="s">
        <v>75</v>
      </c>
      <c r="O32" s="25">
        <f>C41-O23</f>
        <v>132.1762116878287</v>
      </c>
      <c r="P32" s="559" t="s">
        <v>5</v>
      </c>
      <c r="Q32" s="559"/>
      <c r="R32" s="560"/>
      <c r="S32" s="104"/>
      <c r="T32" s="104"/>
      <c r="U32" s="84"/>
    </row>
    <row r="33" spans="1:21" ht="17.399999999999999" thickBot="1">
      <c r="A33" s="112"/>
      <c r="B33" s="503" t="s">
        <v>19</v>
      </c>
      <c r="C33" s="66">
        <f>C24/C35</f>
        <v>2.1739130434782609E-3</v>
      </c>
      <c r="D33" s="502" t="s">
        <v>10</v>
      </c>
      <c r="E33" s="411"/>
      <c r="F33" s="734" t="s">
        <v>535</v>
      </c>
      <c r="G33" s="735"/>
      <c r="H33" s="412">
        <f>0.259*G9</f>
        <v>129.5</v>
      </c>
      <c r="I33" s="4" t="s">
        <v>9</v>
      </c>
      <c r="J33" s="411"/>
      <c r="K33" s="104"/>
      <c r="L33" s="104"/>
      <c r="M33" s="104"/>
      <c r="N33" s="2" t="s">
        <v>76</v>
      </c>
      <c r="O33" s="25">
        <f>1000000*O32/(0.9*G9*MIN(400,C24))</f>
        <v>734.31228715460395</v>
      </c>
      <c r="P33" s="559" t="s">
        <v>77</v>
      </c>
      <c r="Q33" s="559"/>
      <c r="R33" s="560"/>
      <c r="S33" s="104"/>
      <c r="T33" s="104"/>
      <c r="U33" s="84"/>
    </row>
    <row r="34" spans="1:21" ht="16.2" thickBot="1">
      <c r="A34" s="112"/>
      <c r="B34" s="13" t="s">
        <v>20</v>
      </c>
      <c r="C34" s="420">
        <v>3.5000000000000001E-3</v>
      </c>
      <c r="D34" s="10" t="s">
        <v>10</v>
      </c>
      <c r="E34" s="411"/>
      <c r="F34" s="734" t="s">
        <v>536</v>
      </c>
      <c r="G34" s="735"/>
      <c r="H34" s="413">
        <f>I10</f>
        <v>308.42911877394636</v>
      </c>
      <c r="I34" s="4" t="s">
        <v>9</v>
      </c>
      <c r="J34" s="411"/>
      <c r="K34" s="104"/>
      <c r="L34" s="104"/>
      <c r="M34" s="104"/>
      <c r="N34" s="28" t="s">
        <v>78</v>
      </c>
      <c r="O34" s="29"/>
      <c r="P34" s="29"/>
      <c r="Q34" s="29"/>
      <c r="R34" s="30"/>
      <c r="S34" s="104"/>
      <c r="T34" s="104"/>
      <c r="U34" s="84"/>
    </row>
    <row r="35" spans="1:21" ht="17.399999999999999" thickBot="1">
      <c r="A35" s="112"/>
      <c r="B35" s="2" t="s">
        <v>4</v>
      </c>
      <c r="C35" s="420">
        <v>200000</v>
      </c>
      <c r="D35" s="10" t="s">
        <v>11</v>
      </c>
      <c r="E35" s="411"/>
      <c r="F35" s="736" t="s">
        <v>537</v>
      </c>
      <c r="G35" s="737"/>
      <c r="H35" s="757">
        <f>IF(H31&lt;H33,2,IF(H31&lt;=H34,3,"x &gt; x límite"))</f>
        <v>2</v>
      </c>
      <c r="I35" s="758"/>
      <c r="J35" s="411"/>
      <c r="K35" s="104"/>
      <c r="L35" s="104"/>
      <c r="M35" s="104"/>
      <c r="N35" s="32" t="s">
        <v>79</v>
      </c>
      <c r="O35" s="33"/>
      <c r="P35" s="33"/>
      <c r="Q35" s="33"/>
      <c r="R35" s="34"/>
      <c r="S35" s="104"/>
      <c r="T35" s="104"/>
      <c r="U35" s="84"/>
    </row>
    <row r="36" spans="1:21" ht="16.2" thickBot="1">
      <c r="A36" s="112"/>
      <c r="B36" s="2" t="s">
        <v>21</v>
      </c>
      <c r="C36" s="420">
        <v>15</v>
      </c>
      <c r="D36" s="10" t="s">
        <v>9</v>
      </c>
      <c r="E36" s="411"/>
      <c r="F36" s="738" t="str">
        <f>IF(H35=3,"Máximo aprovechamiento (dominio 3)",IF(H35=2,"¿Modificar sección? (dominio 2)","¿Modificar sección? (x &gt; x límite)"))</f>
        <v>¿Modificar sección? (dominio 2)</v>
      </c>
      <c r="G36" s="739"/>
      <c r="H36" s="739"/>
      <c r="I36" s="739"/>
      <c r="J36" s="414" t="str">
        <f>IF(H35=3,"(mantener la sección)",IF(H35=2,"(¿bajar el canto?)","(¿subir el canto?)"))</f>
        <v>(¿bajar el canto?)</v>
      </c>
      <c r="K36" s="104"/>
      <c r="L36" s="104"/>
      <c r="M36" s="104"/>
      <c r="N36" s="32" t="s">
        <v>80</v>
      </c>
      <c r="O36" s="33"/>
      <c r="P36" s="33"/>
      <c r="Q36" s="33"/>
      <c r="R36" s="34"/>
      <c r="S36" s="104"/>
      <c r="T36" s="104"/>
      <c r="U36" s="84"/>
    </row>
    <row r="37" spans="1:21" ht="16.2" thickBot="1">
      <c r="A37" s="112"/>
      <c r="B37" s="2" t="s">
        <v>22</v>
      </c>
      <c r="C37" s="420">
        <v>30</v>
      </c>
      <c r="D37" s="10" t="s">
        <v>9</v>
      </c>
      <c r="E37" s="411"/>
      <c r="F37" s="411"/>
      <c r="G37" s="411"/>
      <c r="H37" s="411"/>
      <c r="I37" s="411"/>
      <c r="J37" s="411"/>
      <c r="K37" s="104"/>
      <c r="L37" s="104"/>
      <c r="M37" s="104"/>
      <c r="N37" s="32" t="s">
        <v>81</v>
      </c>
      <c r="O37" s="33"/>
      <c r="P37" s="33"/>
      <c r="Q37" s="33"/>
      <c r="R37" s="34"/>
      <c r="S37" s="104"/>
      <c r="T37" s="104"/>
      <c r="U37" s="84"/>
    </row>
    <row r="38" spans="1:21" ht="15" thickBot="1">
      <c r="A38" s="112"/>
      <c r="B38" s="743" t="s">
        <v>611</v>
      </c>
      <c r="C38" s="744"/>
      <c r="D38" s="593"/>
      <c r="E38" s="428" t="str">
        <f>IF(AND(G39&gt;G45,G39&gt;G25),"SI","NO")</f>
        <v>NO</v>
      </c>
      <c r="F38" s="710" t="s">
        <v>532</v>
      </c>
      <c r="G38" s="711"/>
      <c r="H38" s="711"/>
      <c r="I38" s="711"/>
      <c r="J38" s="712"/>
      <c r="K38" s="104"/>
      <c r="L38" s="104"/>
      <c r="M38" s="104"/>
      <c r="N38" s="563" t="s">
        <v>82</v>
      </c>
      <c r="O38" s="564"/>
      <c r="P38" s="559">
        <f>IF(C41&lt;=O11/5,1,IF(C41&gt;2*O11/3,3,2))</f>
        <v>2</v>
      </c>
      <c r="Q38" s="559"/>
      <c r="R38" s="560"/>
      <c r="S38" s="104"/>
      <c r="T38" s="104"/>
      <c r="U38" s="84"/>
    </row>
    <row r="39" spans="1:21" ht="17.399999999999999" thickBot="1">
      <c r="A39" s="112"/>
      <c r="B39" s="2" t="s">
        <v>23</v>
      </c>
      <c r="C39" s="1">
        <f>C14*C20/2</f>
        <v>202.08599999999998</v>
      </c>
      <c r="D39" s="10" t="s">
        <v>5</v>
      </c>
      <c r="E39" s="411"/>
      <c r="F39" s="158" t="s">
        <v>524</v>
      </c>
      <c r="G39" s="56">
        <f>C18*G9*IF(C21=500,0.0028,0.0033)</f>
        <v>350</v>
      </c>
      <c r="H39" s="56" t="s">
        <v>96</v>
      </c>
      <c r="I39" s="56" t="s">
        <v>527</v>
      </c>
      <c r="J39" s="57"/>
      <c r="K39" s="104"/>
      <c r="L39" s="104"/>
      <c r="M39" s="104"/>
      <c r="N39" s="563" t="s">
        <v>83</v>
      </c>
      <c r="O39" s="564"/>
      <c r="P39" s="425">
        <f>IF(P38=1,IF(0.75*G9/10&gt;60,60,0.75*G9/10),IF(P38=2,(IF(0.6*G9/10&gt;45,45,0.6*G9/10)),IF(0.3*G9/10&gt;30,30,0.3*G9/10)))</f>
        <v>30</v>
      </c>
      <c r="Q39" s="559" t="s">
        <v>84</v>
      </c>
      <c r="R39" s="701" t="str">
        <f>IF(AND(P40&lt;=P39,P40&lt;30),"Cumple","No cumple")</f>
        <v>Cumple</v>
      </c>
      <c r="S39" s="104"/>
      <c r="T39" s="104"/>
      <c r="U39" s="84"/>
    </row>
    <row r="40" spans="1:21" ht="16.2" thickBot="1">
      <c r="A40" s="112"/>
      <c r="B40" s="2" t="s">
        <v>12</v>
      </c>
      <c r="C40" s="1">
        <f>C14*C20/2</f>
        <v>202.08599999999998</v>
      </c>
      <c r="D40" s="10" t="s">
        <v>5</v>
      </c>
      <c r="E40" s="411"/>
      <c r="F40" s="2" t="s">
        <v>525</v>
      </c>
      <c r="G40" s="3">
        <f>G39/C51</f>
        <v>1.1140846016432673</v>
      </c>
      <c r="H40" s="3"/>
      <c r="I40" s="3" t="str">
        <f>IF(G40&lt;G26,"Menor que As1 de cálculo","Mayor que As1 de cálculo")</f>
        <v>Menor que As1 de cálculo</v>
      </c>
      <c r="J40" s="4"/>
      <c r="K40" s="104"/>
      <c r="L40" s="104"/>
      <c r="M40" s="104"/>
      <c r="N40" s="563" t="s">
        <v>85</v>
      </c>
      <c r="O40" s="564"/>
      <c r="P40" s="427">
        <v>20</v>
      </c>
      <c r="Q40" s="559" t="s">
        <v>84</v>
      </c>
      <c r="R40" s="702"/>
      <c r="S40" s="104"/>
      <c r="T40" s="104"/>
      <c r="U40" s="84"/>
    </row>
    <row r="41" spans="1:21" ht="16.8">
      <c r="A41" s="112"/>
      <c r="B41" s="2" t="s">
        <v>24</v>
      </c>
      <c r="C41" s="1">
        <f>MAX(C39:C40)</f>
        <v>202.08599999999998</v>
      </c>
      <c r="D41" s="10" t="s">
        <v>5</v>
      </c>
      <c r="E41" s="411"/>
      <c r="F41" s="2" t="s">
        <v>526</v>
      </c>
      <c r="G41" s="3">
        <f>ROUNDUP(G40,0)</f>
        <v>2</v>
      </c>
      <c r="H41" s="3"/>
      <c r="I41" s="3" t="str">
        <f>IF(G41&lt;G27,"Menor que As1 de cálculo","Mayor que As1 de cálculo")</f>
        <v>Menor que As1 de cálculo</v>
      </c>
      <c r="J41" s="4"/>
      <c r="K41" s="104"/>
      <c r="L41" s="104"/>
      <c r="M41" s="104"/>
      <c r="N41" s="2" t="s">
        <v>76</v>
      </c>
      <c r="O41" s="25">
        <f>O33/100</f>
        <v>7.3431228715460399</v>
      </c>
      <c r="P41" s="426" t="s">
        <v>86</v>
      </c>
      <c r="Q41" s="35">
        <f>O41/(100/P40)</f>
        <v>1.4686245743092079</v>
      </c>
      <c r="R41" s="560" t="s">
        <v>87</v>
      </c>
      <c r="S41" s="104"/>
      <c r="T41" s="104"/>
      <c r="U41" s="84"/>
    </row>
    <row r="42" spans="1:21" ht="17.399999999999999" thickBot="1">
      <c r="A42" s="112"/>
      <c r="B42" s="2" t="s">
        <v>25</v>
      </c>
      <c r="C42" s="1">
        <f>C14*(C20^2)/8</f>
        <v>242.50319999999999</v>
      </c>
      <c r="D42" s="10" t="s">
        <v>26</v>
      </c>
      <c r="E42" s="411"/>
      <c r="F42" s="17" t="s">
        <v>528</v>
      </c>
      <c r="G42" s="53">
        <f>G41*C51</f>
        <v>628.31853071795865</v>
      </c>
      <c r="H42" s="53" t="s">
        <v>96</v>
      </c>
      <c r="I42" s="53"/>
      <c r="J42" s="54"/>
      <c r="K42" s="104"/>
      <c r="M42" s="104"/>
      <c r="N42" s="36" t="s">
        <v>88</v>
      </c>
      <c r="O42" s="37">
        <f>2*PI()*(C50/(2*10))^2</f>
        <v>1.5707963267948966</v>
      </c>
      <c r="P42" s="38" t="s">
        <v>87</v>
      </c>
      <c r="Q42" s="703" t="str">
        <f>IF(O42&gt;Q41,"Cumple","No cumple. Aumentar Øt.")</f>
        <v>Cumple</v>
      </c>
      <c r="R42" s="704"/>
      <c r="S42" s="104"/>
      <c r="T42" s="104"/>
      <c r="U42" s="84"/>
    </row>
    <row r="43" spans="1:21" ht="15" thickBot="1">
      <c r="A43" s="112"/>
      <c r="B43" s="563" t="s">
        <v>614</v>
      </c>
      <c r="C43" s="753" t="s">
        <v>586</v>
      </c>
      <c r="D43" s="706"/>
      <c r="E43" s="411"/>
      <c r="F43" s="411"/>
      <c r="G43" s="411"/>
      <c r="H43" s="411"/>
      <c r="I43" s="411"/>
      <c r="J43" s="41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84"/>
    </row>
    <row r="44" spans="1:21" ht="16.2" thickBot="1">
      <c r="A44" s="112"/>
      <c r="B44" s="2" t="s">
        <v>23</v>
      </c>
      <c r="C44" s="1">
        <f>C15*C20/2</f>
        <v>138.35999999999999</v>
      </c>
      <c r="D44" s="10" t="s">
        <v>5</v>
      </c>
      <c r="E44" s="428" t="str">
        <f>IF(AND(G45&gt;G39,G45&gt;G25),"SI","NO")</f>
        <v>NO</v>
      </c>
      <c r="F44" s="710" t="s">
        <v>529</v>
      </c>
      <c r="G44" s="711"/>
      <c r="H44" s="711"/>
      <c r="I44" s="711"/>
      <c r="J44" s="712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84"/>
    </row>
    <row r="45" spans="1:21" ht="17.399999999999999" thickBot="1">
      <c r="A45" s="112"/>
      <c r="B45" s="2" t="s">
        <v>12</v>
      </c>
      <c r="C45" s="1">
        <f>C15*C20/2</f>
        <v>138.35999999999999</v>
      </c>
      <c r="D45" s="10" t="s">
        <v>5</v>
      </c>
      <c r="E45" s="411"/>
      <c r="F45" s="158" t="s">
        <v>530</v>
      </c>
      <c r="G45" s="56">
        <f>C18*G9*C25*0.04/C24</f>
        <v>306.66666666666669</v>
      </c>
      <c r="H45" s="56" t="s">
        <v>96</v>
      </c>
      <c r="I45" s="56"/>
      <c r="J45" s="57"/>
      <c r="K45" s="104"/>
      <c r="L45" s="104"/>
      <c r="M45" s="431" t="str">
        <f>IF(O27&lt;2,"NO","SI")</f>
        <v>NO</v>
      </c>
      <c r="N45" s="707" t="s">
        <v>617</v>
      </c>
      <c r="O45" s="708"/>
      <c r="P45" s="708"/>
      <c r="Q45" s="708"/>
      <c r="R45" s="709"/>
      <c r="S45" s="104"/>
      <c r="T45" s="104"/>
      <c r="U45" s="84"/>
    </row>
    <row r="46" spans="1:21" ht="16.2" thickBot="1">
      <c r="A46" s="112"/>
      <c r="B46" s="2" t="s">
        <v>24</v>
      </c>
      <c r="C46" s="1">
        <f>MAX(C44:C45)</f>
        <v>138.35999999999999</v>
      </c>
      <c r="D46" s="10" t="s">
        <v>5</v>
      </c>
      <c r="E46" s="411"/>
      <c r="F46" s="2" t="s">
        <v>525</v>
      </c>
      <c r="G46" s="3">
        <f>G45/C51</f>
        <v>0.97615031763029148</v>
      </c>
      <c r="H46" s="3"/>
      <c r="I46" s="3" t="str">
        <f>IF(G46&gt;G26,"Mayor que As1 de cálculo","Menor que As1 de cálculo")</f>
        <v>Menor que As1 de cálculo</v>
      </c>
      <c r="J46" s="4"/>
      <c r="K46" s="104"/>
      <c r="L46" s="104"/>
      <c r="M46" s="104"/>
      <c r="N46" s="2" t="s">
        <v>296</v>
      </c>
      <c r="O46" s="16">
        <f>MIN(100*O49/O48,15*C50/10)</f>
        <v>15</v>
      </c>
      <c r="P46" s="42" t="s">
        <v>84</v>
      </c>
      <c r="Q46" s="3"/>
      <c r="R46" s="4"/>
      <c r="S46" s="104"/>
      <c r="T46" s="104"/>
      <c r="U46" s="84"/>
    </row>
    <row r="47" spans="1:21" ht="16.2" thickBot="1">
      <c r="A47" s="112"/>
      <c r="B47" s="2" t="s">
        <v>25</v>
      </c>
      <c r="C47" s="423">
        <f>C15*(C20^2)/8</f>
        <v>166.03199999999998</v>
      </c>
      <c r="D47" s="10" t="s">
        <v>26</v>
      </c>
      <c r="E47" s="411"/>
      <c r="F47" s="2" t="s">
        <v>526</v>
      </c>
      <c r="G47" s="3">
        <f>ROUNDUP(G46,0)</f>
        <v>1</v>
      </c>
      <c r="H47" s="3"/>
      <c r="I47" s="3" t="str">
        <f>IF(G47&gt;G27,"Mayor que As1 de cálculo","Menor que As1 de cálculo")</f>
        <v>Menor que As1 de cálculo</v>
      </c>
      <c r="J47" s="4"/>
      <c r="K47" s="104"/>
      <c r="L47" s="104"/>
      <c r="M47" s="104"/>
      <c r="N47" s="705" t="s">
        <v>628</v>
      </c>
      <c r="O47" s="706"/>
      <c r="P47" s="427">
        <v>8</v>
      </c>
      <c r="Q47" s="56" t="s">
        <v>84</v>
      </c>
      <c r="R47" s="170" t="str">
        <f>IF(P47&lt;=O46,"Cumple","No cumple")</f>
        <v>Cumple</v>
      </c>
      <c r="S47" s="411"/>
      <c r="T47" s="104"/>
      <c r="U47" s="84"/>
    </row>
    <row r="48" spans="1:21" ht="17.399999999999999" thickBot="1">
      <c r="A48" s="112"/>
      <c r="B48" s="2" t="s">
        <v>27</v>
      </c>
      <c r="C48" s="420">
        <v>20</v>
      </c>
      <c r="D48" s="4" t="s">
        <v>9</v>
      </c>
      <c r="E48" s="411"/>
      <c r="F48" s="17" t="s">
        <v>531</v>
      </c>
      <c r="G48" s="53">
        <f>G47*C51</f>
        <v>314.15926535897933</v>
      </c>
      <c r="H48" s="53" t="s">
        <v>96</v>
      </c>
      <c r="I48" s="53"/>
      <c r="J48" s="54"/>
      <c r="K48" s="104"/>
      <c r="L48" s="104"/>
      <c r="M48" s="104"/>
      <c r="N48" s="2" t="s">
        <v>91</v>
      </c>
      <c r="O48" s="16">
        <f>IF(C22&lt;=50,(C18*C22^(2/3))*10/(25*MIN(C24,400)),(C18*0.58*C22^(1/2))*10/(7.5*MIN(C24,400)))</f>
        <v>2.924017738212866</v>
      </c>
      <c r="P48" s="56" t="s">
        <v>288</v>
      </c>
      <c r="Q48" s="16">
        <f>O48/(100/P47)</f>
        <v>0.23392141905702929</v>
      </c>
      <c r="R48" s="4" t="s">
        <v>90</v>
      </c>
      <c r="S48" s="104"/>
      <c r="T48" s="104"/>
      <c r="U48" s="84"/>
    </row>
    <row r="49" spans="1:21" ht="17.399999999999999" thickBot="1">
      <c r="A49" s="110"/>
      <c r="B49" s="2" t="s">
        <v>28</v>
      </c>
      <c r="C49" s="420">
        <v>10</v>
      </c>
      <c r="D49" s="4" t="s">
        <v>9</v>
      </c>
      <c r="E49" s="411"/>
      <c r="F49" s="411"/>
      <c r="G49" s="411"/>
      <c r="H49" s="411"/>
      <c r="I49" s="411"/>
      <c r="J49" s="411"/>
      <c r="K49" s="411"/>
      <c r="L49" s="411"/>
      <c r="M49" s="104"/>
      <c r="N49" s="36" t="s">
        <v>88</v>
      </c>
      <c r="O49" s="37">
        <f>2*PI()*(C50/(2*10))^2</f>
        <v>1.5707963267948966</v>
      </c>
      <c r="P49" s="38" t="s">
        <v>87</v>
      </c>
      <c r="Q49" s="703" t="str">
        <f>IF(O49&gt;Q48,"Cumple","No cumple. Aumentar Øt.")</f>
        <v>Cumple</v>
      </c>
      <c r="R49" s="704"/>
      <c r="S49" s="411"/>
      <c r="T49" s="411"/>
      <c r="U49" s="84"/>
    </row>
    <row r="50" spans="1:21" ht="16.2" thickBot="1">
      <c r="A50" s="110"/>
      <c r="B50" s="2" t="s">
        <v>29</v>
      </c>
      <c r="C50" s="420">
        <v>10</v>
      </c>
      <c r="D50" s="4" t="s">
        <v>9</v>
      </c>
      <c r="E50" s="428" t="str">
        <f>IF(G14&lt;2,"SI","NO")</f>
        <v>SI</v>
      </c>
      <c r="F50" s="710" t="s">
        <v>99</v>
      </c>
      <c r="G50" s="711"/>
      <c r="H50" s="711"/>
      <c r="I50" s="711"/>
      <c r="J50" s="712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84"/>
    </row>
    <row r="51" spans="1:21" ht="16.8">
      <c r="A51" s="110"/>
      <c r="B51" s="5" t="s">
        <v>30</v>
      </c>
      <c r="C51" s="424">
        <f>PI()*(C48/2)^2</f>
        <v>314.15926535897933</v>
      </c>
      <c r="D51" s="4" t="s">
        <v>31</v>
      </c>
      <c r="E51" s="104"/>
      <c r="F51" s="158" t="s">
        <v>95</v>
      </c>
      <c r="G51" s="56">
        <f>0.3*G39</f>
        <v>105</v>
      </c>
      <c r="H51" s="56" t="s">
        <v>96</v>
      </c>
      <c r="I51" s="56"/>
      <c r="J51" s="57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84"/>
    </row>
    <row r="52" spans="1:21" ht="16.8">
      <c r="A52" s="110"/>
      <c r="B52" s="5" t="s">
        <v>32</v>
      </c>
      <c r="C52" s="6">
        <f>PI()*(C49/2)^2</f>
        <v>78.539816339744831</v>
      </c>
      <c r="D52" s="4" t="s">
        <v>31</v>
      </c>
      <c r="E52" s="104"/>
      <c r="F52" s="2" t="s">
        <v>59</v>
      </c>
      <c r="G52" s="6">
        <f>G51/C52</f>
        <v>1.3369015219719209</v>
      </c>
      <c r="H52" s="3"/>
      <c r="I52" s="3"/>
      <c r="J52" s="4"/>
      <c r="K52" s="110"/>
      <c r="L52" s="411"/>
      <c r="M52" s="411"/>
      <c r="N52" s="411"/>
      <c r="O52" s="411"/>
      <c r="P52" s="411"/>
      <c r="Q52" s="411"/>
      <c r="R52" s="411"/>
      <c r="S52" s="411"/>
      <c r="T52" s="411"/>
      <c r="U52" s="84"/>
    </row>
    <row r="53" spans="1:21" ht="17.399999999999999" thickBot="1">
      <c r="A53" s="110"/>
      <c r="B53" s="7" t="s">
        <v>33</v>
      </c>
      <c r="C53" s="8">
        <f>PI()*(C50/2)^2</f>
        <v>78.539816339744831</v>
      </c>
      <c r="D53" s="9" t="s">
        <v>31</v>
      </c>
      <c r="E53" s="104"/>
      <c r="F53" s="2" t="s">
        <v>57</v>
      </c>
      <c r="G53" s="3">
        <f>ROUNDUP(G52,0)</f>
        <v>2</v>
      </c>
      <c r="H53" s="3"/>
      <c r="I53" s="3"/>
      <c r="J53" s="4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84"/>
    </row>
    <row r="54" spans="1:21" ht="17.399999999999999" thickBot="1">
      <c r="A54" s="110"/>
      <c r="B54" s="411"/>
      <c r="C54" s="411"/>
      <c r="D54" s="411"/>
      <c r="E54" s="104"/>
      <c r="F54" s="17" t="s">
        <v>278</v>
      </c>
      <c r="G54" s="48">
        <f>G53*C52</f>
        <v>157.07963267948966</v>
      </c>
      <c r="H54" s="53" t="s">
        <v>97</v>
      </c>
      <c r="I54" s="53"/>
      <c r="J54" s="54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84"/>
    </row>
    <row r="55" spans="1:21" ht="15" thickBot="1">
      <c r="A55" s="110"/>
      <c r="B55" s="411"/>
      <c r="C55" s="411"/>
      <c r="D55" s="411"/>
      <c r="E55" s="104"/>
      <c r="F55" s="104"/>
      <c r="G55" s="104"/>
      <c r="H55" s="104"/>
      <c r="I55" s="104"/>
      <c r="J55" s="104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84"/>
    </row>
    <row r="56" spans="1:21" ht="16.2" thickBot="1">
      <c r="A56" s="110"/>
      <c r="B56" s="411"/>
      <c r="C56" s="411"/>
      <c r="D56" s="411"/>
      <c r="E56" s="429" t="str">
        <f>IF(G14&lt;2,"NO","SI")</f>
        <v>NO</v>
      </c>
      <c r="F56" s="710" t="s">
        <v>98</v>
      </c>
      <c r="G56" s="711"/>
      <c r="H56" s="711"/>
      <c r="I56" s="711"/>
      <c r="J56" s="712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84"/>
    </row>
    <row r="57" spans="1:21" ht="16.8">
      <c r="A57" s="110"/>
      <c r="B57" s="411"/>
      <c r="C57" s="411"/>
      <c r="D57" s="411"/>
      <c r="E57" s="104"/>
      <c r="F57" s="19" t="s">
        <v>42</v>
      </c>
      <c r="G57" s="20">
        <f>C24/(C25*C18)</f>
        <v>6.5217391304347824E-2</v>
      </c>
      <c r="H57" s="20" t="s">
        <v>100</v>
      </c>
      <c r="I57" s="20">
        <f>C24</f>
        <v>434.78260869565219</v>
      </c>
      <c r="J57" s="21" t="s">
        <v>101</v>
      </c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84"/>
    </row>
    <row r="58" spans="1:21" ht="15.6">
      <c r="A58" s="110"/>
      <c r="B58" s="411"/>
      <c r="C58" s="411"/>
      <c r="D58" s="411"/>
      <c r="E58" s="104"/>
      <c r="F58" s="65" t="s">
        <v>103</v>
      </c>
      <c r="G58" s="66">
        <f>(MAX(1.25*C36,C37)+C50+C49/2)</f>
        <v>45</v>
      </c>
      <c r="H58" s="66"/>
      <c r="I58" s="66"/>
      <c r="J58" s="67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84"/>
    </row>
    <row r="59" spans="1:21" ht="15.6">
      <c r="A59" s="110"/>
      <c r="B59" s="411"/>
      <c r="C59" s="411"/>
      <c r="D59" s="411"/>
      <c r="E59" s="104"/>
      <c r="F59" s="2" t="s">
        <v>102</v>
      </c>
      <c r="G59" s="148">
        <f>((C42*1000000)-C25*C18*I11*(G9-(I11/2)))/(C24*(G9-G58))</f>
        <v>-1905.8841551587288</v>
      </c>
      <c r="H59" s="18"/>
      <c r="I59" s="370"/>
      <c r="J59" s="22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84"/>
    </row>
    <row r="60" spans="1:21" ht="15.6">
      <c r="A60" s="110"/>
      <c r="B60" s="411"/>
      <c r="C60" s="411"/>
      <c r="D60" s="411"/>
      <c r="E60" s="104"/>
      <c r="F60" s="2" t="s">
        <v>104</v>
      </c>
      <c r="G60" s="3">
        <f>(C25*C18*I11+G59*C24)/C24</f>
        <v>1877.5130351350138</v>
      </c>
      <c r="H60" s="46"/>
      <c r="I60" s="46"/>
      <c r="J60" s="47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84"/>
    </row>
    <row r="61" spans="1:21" ht="15.6">
      <c r="A61" s="110"/>
      <c r="B61" s="411"/>
      <c r="C61" s="411"/>
      <c r="D61" s="411"/>
      <c r="E61" s="104"/>
      <c r="F61" s="2" t="s">
        <v>105</v>
      </c>
      <c r="G61" s="3">
        <f>G60/C51</f>
        <v>5.9763096052240963</v>
      </c>
      <c r="H61" s="46"/>
      <c r="I61" s="46"/>
      <c r="J61" s="47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84"/>
    </row>
    <row r="62" spans="1:21" ht="15.6">
      <c r="A62" s="110"/>
      <c r="B62" s="411"/>
      <c r="C62" s="411"/>
      <c r="D62" s="411"/>
      <c r="E62" s="104"/>
      <c r="F62" s="2" t="s">
        <v>106</v>
      </c>
      <c r="G62" s="6">
        <f>G59/C52</f>
        <v>-24.2664707403226</v>
      </c>
      <c r="H62" s="46"/>
      <c r="I62" s="46"/>
      <c r="J62" s="47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84"/>
    </row>
    <row r="63" spans="1:21" ht="15.6">
      <c r="A63" s="110"/>
      <c r="B63" s="411"/>
      <c r="C63" s="411"/>
      <c r="D63" s="411"/>
      <c r="E63" s="104"/>
      <c r="F63" s="2" t="s">
        <v>108</v>
      </c>
      <c r="G63" s="68">
        <f>ROUNDUP(G61,0)</f>
        <v>6</v>
      </c>
      <c r="H63" s="3"/>
      <c r="I63" s="46"/>
      <c r="J63" s="47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84"/>
    </row>
    <row r="64" spans="1:21" ht="15.6">
      <c r="A64" s="110"/>
      <c r="B64" s="411"/>
      <c r="C64" s="411"/>
      <c r="D64" s="411"/>
      <c r="E64" s="104"/>
      <c r="F64" s="11" t="s">
        <v>107</v>
      </c>
      <c r="G64" s="144">
        <f>ROUNDUP(G62,0)</f>
        <v>-25</v>
      </c>
      <c r="H64" s="42"/>
      <c r="I64" s="145"/>
      <c r="J64" s="146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84"/>
    </row>
    <row r="65" spans="1:21" ht="16.8">
      <c r="A65" s="110"/>
      <c r="B65" s="411"/>
      <c r="C65" s="411"/>
      <c r="D65" s="411"/>
      <c r="E65" s="104"/>
      <c r="F65" s="2" t="s">
        <v>279</v>
      </c>
      <c r="G65" s="147">
        <f>G63*C51</f>
        <v>1884.9555921538758</v>
      </c>
      <c r="H65" s="46" t="s">
        <v>96</v>
      </c>
      <c r="I65" s="46"/>
      <c r="J65" s="47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84"/>
    </row>
    <row r="66" spans="1:21" ht="17.399999999999999" thickBot="1">
      <c r="A66" s="110"/>
      <c r="B66" s="411"/>
      <c r="C66" s="411"/>
      <c r="D66" s="411"/>
      <c r="E66" s="104"/>
      <c r="F66" s="17" t="s">
        <v>280</v>
      </c>
      <c r="G66" s="48">
        <f>G64*C52</f>
        <v>-1963.4954084936207</v>
      </c>
      <c r="H66" s="49" t="s">
        <v>96</v>
      </c>
      <c r="I66" s="49"/>
      <c r="J66" s="50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84"/>
    </row>
    <row r="67" spans="1:21" ht="15" thickBot="1">
      <c r="A67" s="110"/>
      <c r="B67" s="411"/>
      <c r="C67" s="411"/>
      <c r="D67" s="411"/>
      <c r="E67" s="104"/>
      <c r="F67" s="333"/>
      <c r="G67" s="334"/>
      <c r="H67" s="123"/>
      <c r="I67" s="123"/>
      <c r="J67" s="123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84"/>
    </row>
    <row r="68" spans="1:21">
      <c r="A68" s="110"/>
      <c r="B68" s="411"/>
      <c r="C68" s="411"/>
      <c r="D68" s="411"/>
      <c r="E68" s="411"/>
      <c r="F68" s="747" t="s">
        <v>547</v>
      </c>
      <c r="G68" s="748"/>
      <c r="H68" s="335">
        <f>MAX(1.25*C36,MAX(C48:C50),20)</f>
        <v>20</v>
      </c>
      <c r="I68" s="336" t="s">
        <v>9</v>
      </c>
      <c r="J68" s="751" t="str">
        <f>IF(H69&gt;=H68,"Cumple","No cumple")</f>
        <v>Cumple</v>
      </c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84"/>
    </row>
    <row r="69" spans="1:21" ht="15" thickBot="1">
      <c r="A69" s="110"/>
      <c r="B69" s="411"/>
      <c r="C69" s="411"/>
      <c r="D69" s="411"/>
      <c r="E69" s="411"/>
      <c r="F69" s="749" t="s">
        <v>521</v>
      </c>
      <c r="G69" s="750"/>
      <c r="H69" s="337">
        <f>(C18-(2*C37+N3*K3+2*K5))/(N3-1)</f>
        <v>30</v>
      </c>
      <c r="I69" s="238" t="s">
        <v>9</v>
      </c>
      <c r="J69" s="752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84"/>
    </row>
    <row r="70" spans="1:21" ht="15" thickBot="1">
      <c r="A70" s="110"/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84"/>
    </row>
    <row r="71" spans="1:21">
      <c r="A71" s="411"/>
      <c r="B71" s="411"/>
      <c r="C71" s="411"/>
      <c r="D71" s="411"/>
      <c r="E71" s="411"/>
      <c r="F71" s="747" t="s">
        <v>557</v>
      </c>
      <c r="G71" s="748"/>
      <c r="H71" s="335">
        <f>MAX(1.25*C36,MAX(C48:C50),20)</f>
        <v>20</v>
      </c>
      <c r="I71" s="336" t="s">
        <v>9</v>
      </c>
      <c r="J71" s="751" t="str">
        <f>IF(H72&gt;H71,"Cumple","No cumple")</f>
        <v>Cumple</v>
      </c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</row>
    <row r="72" spans="1:21" ht="15" thickBot="1">
      <c r="F72" s="749" t="s">
        <v>521</v>
      </c>
      <c r="G72" s="750"/>
      <c r="H72" s="337">
        <f>(C18-(2*C37+N4*K4+2*K5))/(N4-1)</f>
        <v>150</v>
      </c>
      <c r="I72" s="238" t="s">
        <v>9</v>
      </c>
      <c r="J72" s="752"/>
    </row>
    <row r="73" spans="1:21" ht="15" thickBot="1"/>
    <row r="74" spans="1:21" ht="18.600000000000001">
      <c r="F74" s="745" t="s">
        <v>606</v>
      </c>
      <c r="G74" s="553" t="s">
        <v>607</v>
      </c>
      <c r="H74" s="335">
        <f>MAX(C48:C50)</f>
        <v>20</v>
      </c>
      <c r="I74" s="335" t="s">
        <v>9</v>
      </c>
      <c r="J74" s="555" t="str">
        <f>IF(C37&gt;H74,"Cumple","No cumple")</f>
        <v>Cumple</v>
      </c>
    </row>
    <row r="75" spans="1:21" ht="16.2" thickBot="1">
      <c r="F75" s="746"/>
      <c r="G75" s="554" t="s">
        <v>608</v>
      </c>
      <c r="H75" s="525">
        <f>1.25*C36</f>
        <v>18.75</v>
      </c>
      <c r="I75" s="525" t="s">
        <v>9</v>
      </c>
      <c r="J75" s="556" t="str">
        <f>IF(C37&gt;H75,"Cumple","No cumple")</f>
        <v>Cumple</v>
      </c>
    </row>
  </sheetData>
  <mergeCells count="42">
    <mergeCell ref="F50:J50"/>
    <mergeCell ref="F2:G2"/>
    <mergeCell ref="W6:X6"/>
    <mergeCell ref="B38:C38"/>
    <mergeCell ref="F74:F75"/>
    <mergeCell ref="F68:G68"/>
    <mergeCell ref="F69:G69"/>
    <mergeCell ref="J68:J69"/>
    <mergeCell ref="F56:J56"/>
    <mergeCell ref="C43:D43"/>
    <mergeCell ref="N17:R17"/>
    <mergeCell ref="N30:R30"/>
    <mergeCell ref="F71:G71"/>
    <mergeCell ref="J71:J72"/>
    <mergeCell ref="F72:G72"/>
    <mergeCell ref="H35:I35"/>
    <mergeCell ref="F38:J38"/>
    <mergeCell ref="F44:J44"/>
    <mergeCell ref="B8:D8"/>
    <mergeCell ref="F8:J8"/>
    <mergeCell ref="N8:R8"/>
    <mergeCell ref="N10:R10"/>
    <mergeCell ref="F16:J16"/>
    <mergeCell ref="F30:I30"/>
    <mergeCell ref="F31:G31"/>
    <mergeCell ref="F32:G32"/>
    <mergeCell ref="F33:G33"/>
    <mergeCell ref="F34:G34"/>
    <mergeCell ref="F35:G35"/>
    <mergeCell ref="F36:I36"/>
    <mergeCell ref="K2:L2"/>
    <mergeCell ref="N16:R16"/>
    <mergeCell ref="P13:R13"/>
    <mergeCell ref="H13:J13"/>
    <mergeCell ref="P26:R26"/>
    <mergeCell ref="M2:N2"/>
    <mergeCell ref="M5:N5"/>
    <mergeCell ref="R39:R40"/>
    <mergeCell ref="Q49:R49"/>
    <mergeCell ref="N47:O47"/>
    <mergeCell ref="N45:R45"/>
    <mergeCell ref="Q42:R42"/>
  </mergeCells>
  <conditionalFormatting sqref="E16 M30 M45 E38 E44 E50 E56">
    <cfRule type="containsText" dxfId="9" priority="6" operator="containsText" text="SI">
      <formula>NOT(ISERROR(SEARCH("SI",E16)))</formula>
    </cfRule>
  </conditionalFormatting>
  <conditionalFormatting sqref="E16 M30 E38 M45 E44 E50 E56">
    <cfRule type="containsText" dxfId="8" priority="5" operator="containsText" text="NO">
      <formula>NOT(ISERROR(SEARCH("NO",E16)))</formula>
    </cfRule>
  </conditionalFormatting>
  <conditionalFormatting sqref="P47">
    <cfRule type="expression" dxfId="7" priority="4">
      <formula>$O$27&lt;2</formula>
    </cfRule>
  </conditionalFormatting>
  <conditionalFormatting sqref="P40">
    <cfRule type="expression" dxfId="6" priority="3">
      <formula>$O$27&gt;1</formula>
    </cfRule>
  </conditionalFormatting>
  <conditionalFormatting sqref="E16 E38 E44">
    <cfRule type="expression" dxfId="5" priority="2">
      <formula>$G$14&gt;1</formula>
    </cfRule>
  </conditionalFormatting>
  <conditionalFormatting sqref="W6:X6">
    <cfRule type="containsText" dxfId="4" priority="1" operator="containsText" text="Cumple requisitos">
      <formula>NOT(ISERROR(SEARCH("Cumple requisitos",W6)))</formula>
    </cfRule>
  </conditionalFormatting>
  <pageMargins left="0.7" right="0.7" top="0.75" bottom="0.75" header="0.3" footer="0.3"/>
  <ignoredErrors>
    <ignoredError sqref="G22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workbookViewId="0">
      <selection activeCell="B12" sqref="B12"/>
    </sheetView>
  </sheetViews>
  <sheetFormatPr baseColWidth="10" defaultRowHeight="14.4"/>
  <cols>
    <col min="1" max="1" width="15.44140625" customWidth="1"/>
    <col min="2" max="2" width="14.44140625" customWidth="1"/>
    <col min="4" max="4" width="14" customWidth="1"/>
    <col min="5" max="5" width="14.33203125" customWidth="1"/>
    <col min="6" max="6" width="13.21875" customWidth="1"/>
    <col min="8" max="8" width="16.77734375" customWidth="1"/>
    <col min="9" max="9" width="12.44140625" customWidth="1"/>
    <col min="19" max="19" width="17.6640625" customWidth="1"/>
  </cols>
  <sheetData>
    <row r="1" spans="1:20" ht="11.4" customHeight="1" thickBot="1"/>
    <row r="2" spans="1:20" ht="25.8" customHeight="1" thickBot="1">
      <c r="A2" s="787" t="s">
        <v>439</v>
      </c>
      <c r="B2" s="788"/>
      <c r="C2" s="785" t="s">
        <v>570</v>
      </c>
      <c r="D2" s="492"/>
      <c r="E2" s="109"/>
      <c r="F2" s="109"/>
      <c r="G2" s="109"/>
      <c r="H2" s="109"/>
      <c r="I2" s="109"/>
      <c r="J2" s="109"/>
      <c r="K2" s="163"/>
      <c r="L2" s="109"/>
      <c r="M2" s="109"/>
      <c r="N2" s="109"/>
      <c r="O2" s="109"/>
      <c r="P2" s="109"/>
      <c r="Q2" s="109"/>
      <c r="R2" s="140"/>
    </row>
    <row r="3" spans="1:20" ht="18.600000000000001" thickBot="1">
      <c r="A3" s="789"/>
      <c r="B3" s="790"/>
      <c r="C3" s="786"/>
      <c r="D3" s="493" t="s">
        <v>622</v>
      </c>
      <c r="E3" s="411"/>
      <c r="F3" s="759" t="s">
        <v>221</v>
      </c>
      <c r="G3" s="760"/>
      <c r="H3" s="760"/>
      <c r="I3" s="760"/>
      <c r="J3" s="761"/>
      <c r="K3" s="77"/>
      <c r="L3" s="77"/>
      <c r="M3" s="77"/>
      <c r="N3" s="77"/>
      <c r="O3" s="77"/>
      <c r="P3" s="77"/>
      <c r="Q3" s="77"/>
      <c r="R3" s="84"/>
    </row>
    <row r="4" spans="1:20" ht="18.600000000000001" thickBot="1">
      <c r="A4" s="795" t="s">
        <v>567</v>
      </c>
      <c r="B4" s="796"/>
      <c r="C4" s="799">
        <v>0</v>
      </c>
      <c r="D4" s="793" t="str">
        <f>IF(C4=1,(Dimensionamiento!C10+(Dimensionamiento!C9/2))+Dimensionamiento!C11,"NO")</f>
        <v>NO</v>
      </c>
      <c r="E4" s="411"/>
      <c r="F4" s="777" t="s">
        <v>222</v>
      </c>
      <c r="G4" s="778"/>
      <c r="H4" s="778"/>
      <c r="I4" s="778"/>
      <c r="J4" s="779"/>
      <c r="K4" s="77"/>
      <c r="L4" s="764" t="s">
        <v>237</v>
      </c>
      <c r="M4" s="765"/>
      <c r="N4" s="765"/>
      <c r="O4" s="765"/>
      <c r="P4" s="766"/>
      <c r="Q4" s="77"/>
      <c r="R4" s="84"/>
      <c r="S4" s="666" t="s">
        <v>618</v>
      </c>
      <c r="T4" s="667">
        <f>Dimensionamiento!X2</f>
        <v>0.71450435587292582</v>
      </c>
    </row>
    <row r="5" spans="1:20" ht="21" customHeight="1" thickBot="1">
      <c r="A5" s="797"/>
      <c r="B5" s="798"/>
      <c r="C5" s="800"/>
      <c r="D5" s="794"/>
      <c r="E5" s="411"/>
      <c r="F5" s="762" t="s">
        <v>223</v>
      </c>
      <c r="G5" s="763"/>
      <c r="H5" s="763"/>
      <c r="I5" s="763"/>
      <c r="J5" s="780"/>
      <c r="K5" s="77"/>
      <c r="L5" s="767" t="s">
        <v>236</v>
      </c>
      <c r="M5" s="768"/>
      <c r="N5" s="768"/>
      <c r="O5" s="768"/>
      <c r="P5" s="769"/>
      <c r="Q5" s="77"/>
      <c r="R5" s="84"/>
      <c r="S5" s="668" t="s">
        <v>619</v>
      </c>
      <c r="T5" s="669">
        <f>Dimensionamiento!X3</f>
        <v>0.93524440910753737</v>
      </c>
    </row>
    <row r="6" spans="1:20" ht="15" thickBot="1">
      <c r="A6" s="791" t="s">
        <v>568</v>
      </c>
      <c r="B6" s="792"/>
      <c r="C6" s="482">
        <v>1</v>
      </c>
      <c r="D6" s="793">
        <f>IF(C6=1,(Dimensionamiento!C10+(Dimensionamiento!C9/2))+Fisuración!C7*Dimensionamiento!C11,"NO")</f>
        <v>36.4</v>
      </c>
      <c r="E6" s="411"/>
      <c r="F6" s="110"/>
      <c r="G6" s="411"/>
      <c r="H6" s="411"/>
      <c r="I6" s="411"/>
      <c r="J6" s="84"/>
      <c r="K6" s="77"/>
      <c r="L6" s="110"/>
      <c r="M6" s="411"/>
      <c r="N6" s="411"/>
      <c r="O6" s="411"/>
      <c r="P6" s="84"/>
      <c r="Q6" s="77"/>
      <c r="R6" s="84"/>
      <c r="S6" s="670" t="s">
        <v>620</v>
      </c>
      <c r="T6" s="671">
        <f>Dimensionamiento!X4</f>
        <v>0.78570552213208578</v>
      </c>
    </row>
    <row r="7" spans="1:20" ht="18.600000000000001" thickBot="1">
      <c r="A7" s="489" t="str">
        <f>IF(C6=1,"Poner valor de ψ1","")</f>
        <v>Poner valor de ψ1</v>
      </c>
      <c r="B7" s="490" t="str">
        <f>IF(C6=1,"ψ1=","")</f>
        <v>ψ1=</v>
      </c>
      <c r="C7" s="483">
        <v>0.5</v>
      </c>
      <c r="D7" s="794"/>
      <c r="E7" s="411"/>
      <c r="F7" s="446" t="s">
        <v>228</v>
      </c>
      <c r="G7" s="433">
        <f>Dimensionamiento!C21</f>
        <v>500</v>
      </c>
      <c r="H7" s="434" t="s">
        <v>7</v>
      </c>
      <c r="I7" s="411"/>
      <c r="J7" s="84"/>
      <c r="K7" s="77"/>
      <c r="L7" s="529" t="s">
        <v>623</v>
      </c>
      <c r="M7" s="419">
        <f>3.4*((Dimensionamiento!C37)-(Dimensionamiento!C48/(2)))+0.17*((Dimensionamiento!C48)/Fisuración!M8)</f>
        <v>68.162764419385979</v>
      </c>
      <c r="N7" s="450" t="s">
        <v>9</v>
      </c>
      <c r="O7" s="411"/>
      <c r="P7" s="84"/>
      <c r="Q7" s="77"/>
      <c r="R7" s="84"/>
      <c r="S7" s="670" t="s">
        <v>621</v>
      </c>
      <c r="T7" s="671">
        <f>Dimensionamiento!X5</f>
        <v>0.42375256212200973</v>
      </c>
    </row>
    <row r="8" spans="1:20" ht="18">
      <c r="A8" s="791" t="s">
        <v>569</v>
      </c>
      <c r="B8" s="792"/>
      <c r="C8" s="482">
        <v>0</v>
      </c>
      <c r="D8" s="793" t="str">
        <f>IF(C8=1,(Dimensionamiento!C10+(Dimensionamiento!C9/2))+Fisuración!C9*Dimensionamiento!C11,"NO")</f>
        <v>NO</v>
      </c>
      <c r="E8" s="527">
        <f>(Dimensionamiento!C10+(Dimensionamiento!C9/2))+0.3*Dimensionamiento!C11</f>
        <v>27.9</v>
      </c>
      <c r="F8" s="447" t="s">
        <v>229</v>
      </c>
      <c r="G8" s="435">
        <f>0.4</f>
        <v>0.4</v>
      </c>
      <c r="H8" s="436" t="s">
        <v>224</v>
      </c>
      <c r="I8" s="164"/>
      <c r="J8" s="84"/>
      <c r="K8" s="77"/>
      <c r="L8" s="530" t="s">
        <v>240</v>
      </c>
      <c r="M8" s="419">
        <f>M10/M9</f>
        <v>20.889086280811263</v>
      </c>
      <c r="N8" s="450"/>
      <c r="O8" s="411"/>
      <c r="P8" s="84"/>
      <c r="Q8" s="77"/>
      <c r="R8" s="84"/>
      <c r="S8" s="742" t="str">
        <f>Dimensionamiento!W6</f>
        <v>Cumple requisitos</v>
      </c>
      <c r="T8" s="742"/>
    </row>
    <row r="9" spans="1:20" ht="19.8" customHeight="1" thickBot="1">
      <c r="A9" s="489" t="str">
        <f>IF(C8=1,"Poner valor de ψ2","")</f>
        <v/>
      </c>
      <c r="B9" s="491" t="str">
        <f>IF(C8=1,"ψ2=","")</f>
        <v/>
      </c>
      <c r="C9" s="483"/>
      <c r="D9" s="794"/>
      <c r="E9" s="528">
        <f>E8*(Dimensionamiento!C20^2)/8</f>
        <v>80.35199999999999</v>
      </c>
      <c r="F9" s="781" t="s">
        <v>225</v>
      </c>
      <c r="G9" s="783">
        <f>IF((Dimensionamiento!C17/10)&lt;30,0.8,0.5)</f>
        <v>0.5</v>
      </c>
      <c r="H9" s="436" t="s">
        <v>226</v>
      </c>
      <c r="I9" s="164"/>
      <c r="J9" s="84"/>
      <c r="K9" s="77"/>
      <c r="L9" s="531" t="s">
        <v>239</v>
      </c>
      <c r="M9" s="451">
        <f>G15</f>
        <v>1256.6370614359173</v>
      </c>
      <c r="N9" s="452" t="s">
        <v>96</v>
      </c>
      <c r="O9" s="411"/>
      <c r="P9" s="84"/>
      <c r="Q9" s="77"/>
      <c r="R9" s="84"/>
    </row>
    <row r="10" spans="1:20" ht="18" customHeight="1">
      <c r="A10" s="803" t="str">
        <f>IF(C4+C6+C8=1,"","Elija una sola opción ")</f>
        <v/>
      </c>
      <c r="B10" s="803"/>
      <c r="C10" s="803"/>
      <c r="D10" s="411"/>
      <c r="E10" s="411"/>
      <c r="F10" s="782"/>
      <c r="G10" s="784"/>
      <c r="H10" s="57" t="s">
        <v>227</v>
      </c>
      <c r="I10" s="411"/>
      <c r="J10" s="84"/>
      <c r="K10" s="77"/>
      <c r="L10" s="770" t="s">
        <v>238</v>
      </c>
      <c r="M10" s="772">
        <f>(Dimensionamiento!C18/10)*Fisuración!P10*100</f>
        <v>26250</v>
      </c>
      <c r="N10" s="775" t="s">
        <v>96</v>
      </c>
      <c r="O10" s="453">
        <f>Dimensionamiento!C17/(10*2)</f>
        <v>27.5</v>
      </c>
      <c r="P10" s="774">
        <f>MIN(O10:O11)</f>
        <v>10.5</v>
      </c>
      <c r="Q10" s="77"/>
      <c r="R10" s="84"/>
    </row>
    <row r="11" spans="1:20" ht="18.600000000000001" thickBot="1">
      <c r="C11" s="411"/>
      <c r="D11" s="411"/>
      <c r="E11" s="411"/>
      <c r="F11" s="448" t="s">
        <v>230</v>
      </c>
      <c r="G11" s="437">
        <f>Dimensionamiento!C18*Dimensionamiento!C17/2</f>
        <v>68750</v>
      </c>
      <c r="H11" s="57" t="s">
        <v>268</v>
      </c>
      <c r="I11" s="411"/>
      <c r="J11" s="84"/>
      <c r="K11" s="77"/>
      <c r="L11" s="771"/>
      <c r="M11" s="773"/>
      <c r="N11" s="776"/>
      <c r="O11" s="453">
        <f>7.5*(Dimensionamiento!C48/(10*2))+Dimensionamiento!C37/10</f>
        <v>10.5</v>
      </c>
      <c r="P11" s="774"/>
      <c r="Q11" s="77"/>
      <c r="R11" s="84"/>
    </row>
    <row r="12" spans="1:20" ht="21.6" thickBot="1">
      <c r="A12" s="488" t="s">
        <v>571</v>
      </c>
      <c r="B12" s="444">
        <f>IF(AND(C4=1,C4+C6+C8=1),D4,IF(AND(C6=1,C4+C6+C8=1),D6,IF(AND(C8=1,C4+C6+C8=1),D8,"Error")))</f>
        <v>36.4</v>
      </c>
      <c r="C12" s="445" t="s">
        <v>610</v>
      </c>
      <c r="D12" s="411"/>
      <c r="E12" s="411"/>
      <c r="F12" s="449" t="s">
        <v>231</v>
      </c>
      <c r="G12" s="438">
        <f>0.3*(Dimensionamiento!C22)^(2/3)</f>
        <v>3.5088212858554391</v>
      </c>
      <c r="H12" s="439" t="s">
        <v>232</v>
      </c>
      <c r="I12" s="411"/>
      <c r="J12" s="84"/>
      <c r="K12" s="77"/>
      <c r="L12" s="112"/>
      <c r="M12" s="104"/>
      <c r="N12" s="104"/>
      <c r="O12" s="411"/>
      <c r="P12" s="84"/>
      <c r="Q12" s="77"/>
      <c r="R12" s="84"/>
    </row>
    <row r="13" spans="1:20" ht="16.2" thickBot="1">
      <c r="A13" s="19" t="s">
        <v>23</v>
      </c>
      <c r="B13" s="484">
        <f>B12*Dimensionamiento!C20/2</f>
        <v>87.36</v>
      </c>
      <c r="C13" s="485" t="s">
        <v>5</v>
      </c>
      <c r="D13" s="411"/>
      <c r="E13" s="411"/>
      <c r="F13" s="110"/>
      <c r="G13" s="411"/>
      <c r="H13" s="411"/>
      <c r="I13" s="411"/>
      <c r="J13" s="84"/>
      <c r="K13" s="77"/>
      <c r="L13" s="112"/>
      <c r="M13" s="104"/>
      <c r="N13" s="104"/>
      <c r="O13" s="411"/>
      <c r="P13" s="84"/>
      <c r="Q13" s="77"/>
      <c r="R13" s="84"/>
    </row>
    <row r="14" spans="1:20" ht="24" thickBot="1">
      <c r="A14" s="2" t="s">
        <v>12</v>
      </c>
      <c r="B14" s="1">
        <f>B12*Dimensionamiento!C20/2</f>
        <v>87.36</v>
      </c>
      <c r="C14" s="10" t="s">
        <v>5</v>
      </c>
      <c r="D14" s="411"/>
      <c r="E14" s="411"/>
      <c r="F14" s="440" t="s">
        <v>233</v>
      </c>
      <c r="G14" s="441">
        <f>G8*G9*G11*G12/G7</f>
        <v>96.492585361024567</v>
      </c>
      <c r="H14" s="442" t="s">
        <v>247</v>
      </c>
      <c r="I14" s="411"/>
      <c r="J14" s="84"/>
      <c r="K14" s="77"/>
      <c r="L14" s="112"/>
      <c r="M14" s="104"/>
      <c r="N14" s="104"/>
      <c r="O14" s="411"/>
      <c r="P14" s="84"/>
      <c r="Q14" s="77"/>
      <c r="R14" s="84"/>
    </row>
    <row r="15" spans="1:20" ht="21" thickBot="1">
      <c r="A15" s="2" t="s">
        <v>24</v>
      </c>
      <c r="B15" s="1">
        <f>MAX(B13:B14)</f>
        <v>87.36</v>
      </c>
      <c r="C15" s="10" t="s">
        <v>5</v>
      </c>
      <c r="D15" s="411"/>
      <c r="E15" s="411"/>
      <c r="F15" s="443" t="s">
        <v>234</v>
      </c>
      <c r="G15" s="571">
        <f>Dimensionamiento!N3*Dimensionamiento!C51</f>
        <v>1256.6370614359173</v>
      </c>
      <c r="H15" s="445" t="s">
        <v>96</v>
      </c>
      <c r="I15" s="411"/>
      <c r="J15" s="84"/>
      <c r="K15" s="77"/>
      <c r="L15" s="530" t="s">
        <v>241</v>
      </c>
      <c r="M15" s="575">
        <f>E9*1000000/(0.8*Dimensionamiento!G9*Fisuración!G15)</f>
        <v>159.85522484149965</v>
      </c>
      <c r="N15" s="450" t="s">
        <v>244</v>
      </c>
      <c r="O15" s="411"/>
      <c r="P15" s="84"/>
      <c r="Q15" s="77"/>
      <c r="R15" s="84"/>
    </row>
    <row r="16" spans="1:20" ht="16.2" thickBot="1">
      <c r="A16" s="17" t="s">
        <v>25</v>
      </c>
      <c r="B16" s="486">
        <f>B12*(Dimensionamiento!C20^2)/8</f>
        <v>104.83199999999999</v>
      </c>
      <c r="C16" s="487" t="s">
        <v>26</v>
      </c>
      <c r="D16" s="411"/>
      <c r="E16" s="411"/>
      <c r="F16" s="110"/>
      <c r="G16" s="411"/>
      <c r="H16" s="411"/>
      <c r="I16" s="411"/>
      <c r="J16" s="84"/>
      <c r="K16" s="77"/>
      <c r="L16" s="532" t="s">
        <v>242</v>
      </c>
      <c r="M16" s="575">
        <f>IF(Dimensionamiento!C22&lt;=50,0.3*Dimensionamiento!C22^(2/3),0.58*Dimensionamiento!C22^(2/3))</f>
        <v>3.5088212858554391</v>
      </c>
      <c r="N16" s="450" t="s">
        <v>7</v>
      </c>
      <c r="O16" s="411"/>
      <c r="P16" s="84"/>
      <c r="Q16" s="77"/>
      <c r="R16" s="84"/>
    </row>
    <row r="17" spans="2:18" ht="25.2" thickBot="1">
      <c r="C17" s="411"/>
      <c r="D17" s="411"/>
      <c r="E17" s="411"/>
      <c r="F17" s="762" t="s">
        <v>235</v>
      </c>
      <c r="G17" s="763"/>
      <c r="H17" s="585" t="str">
        <f>IF(G14&lt;G15,"Cumple"," No cumple ")</f>
        <v>Cumple</v>
      </c>
      <c r="I17" s="85"/>
      <c r="J17" s="86"/>
      <c r="K17" s="77"/>
      <c r="L17" s="533" t="s">
        <v>587</v>
      </c>
      <c r="M17" s="520">
        <f>15400*(M18/10)^(0.3)</f>
        <v>24654.323602254091</v>
      </c>
      <c r="N17" s="521" t="s">
        <v>11</v>
      </c>
      <c r="O17" s="411"/>
      <c r="P17" s="84"/>
      <c r="Q17" s="77"/>
      <c r="R17" s="84"/>
    </row>
    <row r="18" spans="2:18" ht="17.399999999999999" customHeight="1">
      <c r="C18" s="411"/>
      <c r="D18" s="411"/>
      <c r="E18" s="411"/>
      <c r="F18" s="518"/>
      <c r="G18" s="518"/>
      <c r="H18" s="519"/>
      <c r="I18" s="411"/>
      <c r="J18" s="411"/>
      <c r="K18" s="411"/>
      <c r="L18" s="532" t="s">
        <v>273</v>
      </c>
      <c r="M18" s="419">
        <f>Dimensionamiento!C22+8</f>
        <v>48</v>
      </c>
      <c r="N18" s="450" t="s">
        <v>8</v>
      </c>
      <c r="O18" s="411"/>
      <c r="P18" s="84"/>
      <c r="Q18" s="411"/>
      <c r="R18" s="84"/>
    </row>
    <row r="19" spans="2:18">
      <c r="C19" s="411"/>
      <c r="D19" s="411"/>
      <c r="E19" s="411"/>
      <c r="F19" s="77"/>
      <c r="G19" s="77"/>
      <c r="H19" s="77"/>
      <c r="I19" s="77"/>
      <c r="J19" s="77"/>
      <c r="K19" s="77"/>
      <c r="L19" s="534" t="s">
        <v>267</v>
      </c>
      <c r="M19" s="576">
        <f>Dimensionamiento!C35/Fisuración!M17</f>
        <v>8.1121673920802451</v>
      </c>
      <c r="N19" s="411"/>
      <c r="O19" s="411"/>
      <c r="P19" s="84"/>
      <c r="Q19" s="77"/>
      <c r="R19" s="84"/>
    </row>
    <row r="20" spans="2:18">
      <c r="C20" s="411"/>
      <c r="D20" s="411"/>
      <c r="E20" s="411"/>
      <c r="F20" s="77"/>
      <c r="G20" s="77"/>
      <c r="H20" s="77"/>
      <c r="I20" s="77"/>
      <c r="J20" s="77"/>
      <c r="K20" s="77"/>
      <c r="L20" s="532" t="s">
        <v>243</v>
      </c>
      <c r="M20" s="450">
        <f>(M15-(0.4*(M16*(1+M19*M8)/M8)))/Dimensionamiento!C35</f>
        <v>7.4201188516839029E-4</v>
      </c>
      <c r="N20" s="450" t="s">
        <v>9</v>
      </c>
      <c r="O20" s="411"/>
      <c r="P20" s="84"/>
      <c r="Q20" s="77"/>
      <c r="R20" s="84"/>
    </row>
    <row r="21" spans="2:18" ht="15" thickBot="1">
      <c r="C21" s="411"/>
      <c r="D21" s="411"/>
      <c r="E21" s="411"/>
      <c r="F21" s="411"/>
      <c r="G21" s="411"/>
      <c r="H21" s="411"/>
      <c r="I21" s="411"/>
      <c r="J21" s="77"/>
      <c r="K21" s="77"/>
      <c r="L21" s="110"/>
      <c r="M21" s="411"/>
      <c r="N21" s="411"/>
      <c r="O21" s="411"/>
      <c r="P21" s="84"/>
      <c r="Q21" s="77"/>
      <c r="R21" s="84"/>
    </row>
    <row r="22" spans="2:18" ht="21" thickBot="1">
      <c r="C22" s="411"/>
      <c r="D22" s="411"/>
      <c r="E22" s="411"/>
      <c r="F22" s="804" t="s">
        <v>591</v>
      </c>
      <c r="G22" s="805"/>
      <c r="H22" s="805"/>
      <c r="I22" s="806"/>
      <c r="J22" s="77"/>
      <c r="K22" s="77"/>
      <c r="L22" s="454" t="s">
        <v>246</v>
      </c>
      <c r="M22" s="574">
        <f>M7*M20</f>
        <v>5.0577581325117471E-2</v>
      </c>
      <c r="N22" s="455" t="s">
        <v>9</v>
      </c>
      <c r="O22" s="807" t="str">
        <f>IF(M22&lt;M23,"Cumple","No cumple")</f>
        <v>Cumple</v>
      </c>
      <c r="P22" s="84"/>
      <c r="Q22" s="77"/>
      <c r="R22" s="84"/>
    </row>
    <row r="23" spans="2:18" ht="19.2" customHeight="1" thickBot="1">
      <c r="C23" s="411"/>
      <c r="D23" s="411"/>
      <c r="E23" s="411"/>
      <c r="F23" s="809" t="s">
        <v>592</v>
      </c>
      <c r="G23" s="810"/>
      <c r="H23" s="810" t="s">
        <v>593</v>
      </c>
      <c r="I23" s="811"/>
      <c r="J23" s="77"/>
      <c r="K23" s="77"/>
      <c r="L23" s="456" t="s">
        <v>245</v>
      </c>
      <c r="M23" s="517">
        <v>0.3</v>
      </c>
      <c r="N23" s="457" t="s">
        <v>9</v>
      </c>
      <c r="O23" s="808"/>
      <c r="P23" s="86"/>
      <c r="Q23" s="77"/>
      <c r="R23" s="84"/>
    </row>
    <row r="24" spans="2:18" ht="18.600000000000001">
      <c r="C24" s="411"/>
      <c r="D24" s="411"/>
      <c r="E24" s="411"/>
      <c r="F24" s="522" t="s">
        <v>590</v>
      </c>
      <c r="G24" s="572">
        <f>(Dimensionamiento!C47*(Flecha!H27/1000)/(Flecha!H25/100000000))/1000</f>
        <v>19.588890699867587</v>
      </c>
      <c r="H24" s="523" t="s">
        <v>7</v>
      </c>
      <c r="I24" s="586" t="str">
        <f>IF(G24&lt;0.6*Dimensionamiento!C22,"Cumple","No cumple")</f>
        <v>Cumple</v>
      </c>
      <c r="J24" s="77"/>
      <c r="K24" s="77"/>
      <c r="Q24" s="77"/>
      <c r="R24" s="84"/>
    </row>
    <row r="25" spans="2:18" ht="4.2" customHeight="1">
      <c r="C25" s="411"/>
      <c r="D25" s="411"/>
      <c r="E25" s="411"/>
      <c r="F25" s="110"/>
      <c r="G25" s="411"/>
      <c r="H25" s="411"/>
      <c r="I25" s="84"/>
      <c r="J25" s="411"/>
      <c r="K25" s="411"/>
      <c r="L25" s="411"/>
      <c r="M25" s="411"/>
      <c r="N25" s="411"/>
      <c r="O25" s="411"/>
      <c r="P25" s="411"/>
      <c r="Q25" s="411"/>
      <c r="R25" s="411"/>
    </row>
    <row r="26" spans="2:18" ht="18">
      <c r="F26" s="809" t="s">
        <v>594</v>
      </c>
      <c r="G26" s="810"/>
      <c r="H26" s="810" t="s">
        <v>595</v>
      </c>
      <c r="I26" s="811"/>
    </row>
    <row r="27" spans="2:18" ht="19.2" thickBot="1">
      <c r="F27" s="524" t="s">
        <v>590</v>
      </c>
      <c r="G27" s="573">
        <f>(E9*(Flecha!H27/1000)/(Flecha!H25/100000000))/1000</f>
        <v>9.4801396448621986</v>
      </c>
      <c r="H27" s="526" t="s">
        <v>7</v>
      </c>
      <c r="I27" s="587" t="str">
        <f>IF(G27&lt;=0.45*Dimensionamiento!C22,"Cumple","No cumple")</f>
        <v>Cumple</v>
      </c>
    </row>
    <row r="29" spans="2:18">
      <c r="B29" s="506"/>
      <c r="C29" s="64"/>
      <c r="D29" s="64"/>
      <c r="E29" s="64"/>
      <c r="F29" s="64"/>
    </row>
    <row r="30" spans="2:18">
      <c r="B30" s="506"/>
      <c r="C30" s="508"/>
      <c r="D30" s="64"/>
      <c r="E30" s="509"/>
      <c r="F30" s="64"/>
    </row>
    <row r="31" spans="2:18">
      <c r="B31" s="506"/>
      <c r="C31" s="64"/>
      <c r="D31" s="64"/>
      <c r="E31" s="64"/>
      <c r="F31" s="64"/>
    </row>
    <row r="32" spans="2:18">
      <c r="B32" s="506"/>
      <c r="C32" s="510"/>
      <c r="D32" s="64"/>
      <c r="E32" s="64"/>
      <c r="F32" s="64"/>
    </row>
    <row r="33" spans="2:6">
      <c r="B33" s="506"/>
      <c r="C33" s="500"/>
      <c r="D33" s="801"/>
      <c r="E33" s="801"/>
      <c r="F33" s="801"/>
    </row>
    <row r="34" spans="2:6">
      <c r="B34" s="506"/>
      <c r="C34" s="64"/>
      <c r="D34" s="64"/>
      <c r="E34" s="64"/>
      <c r="F34" s="64"/>
    </row>
    <row r="35" spans="2:6">
      <c r="B35" s="64"/>
      <c r="C35" s="64"/>
      <c r="D35" s="64"/>
      <c r="E35" s="64"/>
      <c r="F35" s="64"/>
    </row>
    <row r="36" spans="2:6">
      <c r="B36" s="802"/>
      <c r="C36" s="802"/>
      <c r="D36" s="802"/>
      <c r="E36" s="802"/>
      <c r="F36" s="802"/>
    </row>
    <row r="37" spans="2:6">
      <c r="B37" s="506"/>
      <c r="C37" s="511"/>
      <c r="D37" s="511"/>
      <c r="E37" s="511"/>
      <c r="F37" s="511"/>
    </row>
    <row r="38" spans="2:6">
      <c r="B38" s="506"/>
      <c r="C38" s="512"/>
      <c r="D38" s="511"/>
      <c r="E38" s="513"/>
      <c r="F38" s="514"/>
    </row>
    <row r="39" spans="2:6">
      <c r="B39" s="506"/>
      <c r="C39" s="64"/>
      <c r="D39" s="507"/>
      <c r="E39" s="507"/>
      <c r="F39" s="507"/>
    </row>
    <row r="40" spans="2:6">
      <c r="B40" s="506"/>
      <c r="C40" s="64"/>
      <c r="D40" s="507"/>
      <c r="E40" s="507"/>
      <c r="F40" s="507"/>
    </row>
    <row r="41" spans="2:6">
      <c r="B41" s="506"/>
      <c r="C41" s="515"/>
      <c r="D41" s="507"/>
      <c r="E41" s="507"/>
      <c r="F41" s="507"/>
    </row>
    <row r="42" spans="2:6">
      <c r="B42" s="506"/>
      <c r="C42" s="515"/>
      <c r="D42" s="64"/>
      <c r="E42" s="507"/>
      <c r="F42" s="507"/>
    </row>
    <row r="43" spans="2:6">
      <c r="B43" s="506"/>
      <c r="C43" s="515"/>
      <c r="D43" s="64"/>
      <c r="E43" s="507"/>
      <c r="F43" s="507"/>
    </row>
    <row r="44" spans="2:6">
      <c r="B44" s="506"/>
      <c r="C44" s="516"/>
      <c r="D44" s="507"/>
      <c r="E44" s="507"/>
      <c r="F44" s="507"/>
    </row>
    <row r="45" spans="2:6">
      <c r="B45" s="506"/>
      <c r="C45" s="515"/>
      <c r="D45" s="507"/>
      <c r="E45" s="507"/>
      <c r="F45" s="507"/>
    </row>
    <row r="46" spans="2:6">
      <c r="B46" s="506"/>
      <c r="C46" s="515"/>
      <c r="D46" s="507"/>
      <c r="E46" s="507"/>
      <c r="F46" s="507"/>
    </row>
    <row r="47" spans="2:6">
      <c r="B47" s="506"/>
      <c r="C47" s="64"/>
      <c r="D47" s="507"/>
      <c r="E47" s="507"/>
      <c r="F47" s="507"/>
    </row>
    <row r="48" spans="2:6">
      <c r="B48" s="506"/>
      <c r="C48" s="515"/>
      <c r="D48" s="507"/>
      <c r="E48" s="507"/>
      <c r="F48" s="507"/>
    </row>
    <row r="49" spans="2:6">
      <c r="B49" s="64"/>
      <c r="C49" s="64"/>
      <c r="D49" s="64"/>
      <c r="E49" s="64"/>
      <c r="F49" s="64"/>
    </row>
    <row r="50" spans="2:6">
      <c r="B50" s="64"/>
      <c r="C50" s="64"/>
      <c r="D50" s="64"/>
      <c r="E50" s="64"/>
      <c r="F50" s="64"/>
    </row>
    <row r="51" spans="2:6">
      <c r="B51" s="506"/>
      <c r="C51" s="64"/>
      <c r="D51" s="507"/>
      <c r="E51" s="64"/>
      <c r="F51" s="64"/>
    </row>
  </sheetData>
  <mergeCells count="31">
    <mergeCell ref="S8:T8"/>
    <mergeCell ref="D33:F33"/>
    <mergeCell ref="B36:F36"/>
    <mergeCell ref="A10:C10"/>
    <mergeCell ref="D6:D7"/>
    <mergeCell ref="D8:D9"/>
    <mergeCell ref="F22:I22"/>
    <mergeCell ref="O22:O23"/>
    <mergeCell ref="F23:G23"/>
    <mergeCell ref="H23:I23"/>
    <mergeCell ref="F26:G26"/>
    <mergeCell ref="H26:I26"/>
    <mergeCell ref="C2:C3"/>
    <mergeCell ref="A2:B3"/>
    <mergeCell ref="A6:B6"/>
    <mergeCell ref="A8:B8"/>
    <mergeCell ref="D4:D5"/>
    <mergeCell ref="A4:B5"/>
    <mergeCell ref="C4:C5"/>
    <mergeCell ref="F3:J3"/>
    <mergeCell ref="F17:G17"/>
    <mergeCell ref="L4:P4"/>
    <mergeCell ref="L5:P5"/>
    <mergeCell ref="L10:L11"/>
    <mergeCell ref="M10:M11"/>
    <mergeCell ref="P10:P11"/>
    <mergeCell ref="N10:N11"/>
    <mergeCell ref="F4:J4"/>
    <mergeCell ref="F5:J5"/>
    <mergeCell ref="F9:F10"/>
    <mergeCell ref="G9:G10"/>
  </mergeCells>
  <conditionalFormatting sqref="S8:T8">
    <cfRule type="containsText" dxfId="3" priority="1" operator="containsText" text="Cumple requisitos">
      <formula>NOT(ISERROR(SEARCH("Cumple requisitos",S8)))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opLeftCell="B1" zoomScale="90" zoomScaleNormal="90" workbookViewId="0">
      <selection activeCell="Q8" sqref="Q8:R8"/>
    </sheetView>
  </sheetViews>
  <sheetFormatPr baseColWidth="10" defaultRowHeight="14.4"/>
  <cols>
    <col min="5" max="5" width="15.109375" customWidth="1"/>
    <col min="6" max="6" width="14.88671875" customWidth="1"/>
    <col min="7" max="7" width="12.77734375" customWidth="1"/>
    <col min="8" max="8" width="13.44140625" customWidth="1"/>
    <col min="9" max="9" width="14.33203125" customWidth="1"/>
    <col min="10" max="10" width="9.6640625" customWidth="1"/>
    <col min="11" max="11" width="14.44140625" customWidth="1"/>
    <col min="14" max="14" width="5.88671875" customWidth="1"/>
    <col min="15" max="15" width="12.44140625" customWidth="1"/>
    <col min="17" max="17" width="18.109375" customWidth="1"/>
    <col min="18" max="18" width="13.21875" customWidth="1"/>
  </cols>
  <sheetData>
    <row r="1" spans="1:18" ht="15" thickBot="1">
      <c r="A1" s="132"/>
      <c r="B1" s="133"/>
      <c r="C1" s="133"/>
      <c r="D1" s="133"/>
      <c r="E1" s="133"/>
      <c r="F1" s="133"/>
      <c r="G1" s="133"/>
      <c r="H1" s="133"/>
      <c r="I1" s="64"/>
    </row>
    <row r="2" spans="1:18">
      <c r="A2" s="132"/>
      <c r="B2" s="133"/>
      <c r="C2" s="133"/>
      <c r="D2" s="133"/>
      <c r="E2" s="133"/>
      <c r="F2" s="133"/>
      <c r="G2" s="133"/>
      <c r="H2" s="133"/>
      <c r="I2" s="133"/>
      <c r="J2" s="109"/>
      <c r="K2" s="109"/>
      <c r="L2" s="109"/>
      <c r="M2" s="109"/>
      <c r="N2" s="109"/>
      <c r="O2" s="109"/>
      <c r="P2" s="140"/>
    </row>
    <row r="3" spans="1:18" ht="15" thickBot="1">
      <c r="A3" s="134"/>
      <c r="B3" s="64"/>
      <c r="C3" s="64"/>
      <c r="D3" s="64"/>
      <c r="E3" s="64"/>
      <c r="F3" s="64"/>
      <c r="G3" s="64"/>
      <c r="H3" s="64"/>
      <c r="I3" s="64"/>
      <c r="J3" s="77"/>
      <c r="K3" s="77"/>
      <c r="L3" s="77"/>
      <c r="M3" s="77"/>
      <c r="N3" s="77"/>
      <c r="O3" s="77"/>
      <c r="P3" s="84"/>
    </row>
    <row r="4" spans="1:18" ht="15" thickBot="1">
      <c r="A4" s="2" t="s">
        <v>1</v>
      </c>
      <c r="B4" s="18">
        <f>Dimensionamiento!C20</f>
        <v>4.8</v>
      </c>
      <c r="C4" s="149" t="s">
        <v>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4"/>
      <c r="Q4" s="666" t="s">
        <v>618</v>
      </c>
      <c r="R4" s="667">
        <f>Fisuración!T4</f>
        <v>0.71450435587292582</v>
      </c>
    </row>
    <row r="5" spans="1:18" ht="18.600000000000001" thickBot="1">
      <c r="A5" s="2" t="s">
        <v>436</v>
      </c>
      <c r="B5" s="18">
        <f>Fisuración!B12</f>
        <v>36.4</v>
      </c>
      <c r="C5" s="149" t="s">
        <v>610</v>
      </c>
      <c r="D5" s="77"/>
      <c r="E5" s="825" t="s">
        <v>605</v>
      </c>
      <c r="F5" s="826"/>
      <c r="G5" s="826"/>
      <c r="H5" s="826"/>
      <c r="I5" s="827"/>
      <c r="J5" s="64"/>
      <c r="K5" s="64"/>
      <c r="L5" s="64"/>
      <c r="M5" s="77"/>
      <c r="N5" s="77"/>
      <c r="O5" s="77"/>
      <c r="P5" s="84"/>
      <c r="Q5" s="668" t="s">
        <v>619</v>
      </c>
      <c r="R5" s="669">
        <f>Fisuración!T5</f>
        <v>0.93524440910753737</v>
      </c>
    </row>
    <row r="6" spans="1:18" ht="15" thickBot="1">
      <c r="A6" s="2" t="s">
        <v>3</v>
      </c>
      <c r="B6" s="18">
        <f>Dimensionamiento!C18</f>
        <v>250</v>
      </c>
      <c r="C6" s="149" t="s">
        <v>9</v>
      </c>
      <c r="D6" s="77"/>
      <c r="E6" s="344"/>
      <c r="F6" s="345" t="s">
        <v>248</v>
      </c>
      <c r="G6" s="346" t="s">
        <v>603</v>
      </c>
      <c r="H6" s="346" t="s">
        <v>265</v>
      </c>
      <c r="I6" s="347"/>
      <c r="J6" s="64"/>
      <c r="K6" s="64"/>
      <c r="L6" s="64"/>
      <c r="M6" s="77"/>
      <c r="N6" s="77"/>
      <c r="O6" s="77"/>
      <c r="P6" s="84"/>
      <c r="Q6" s="670" t="s">
        <v>620</v>
      </c>
      <c r="R6" s="671">
        <f>Fisuración!T6</f>
        <v>0.78570552213208578</v>
      </c>
    </row>
    <row r="7" spans="1:18" ht="16.2" thickBot="1">
      <c r="A7" s="2" t="s">
        <v>2</v>
      </c>
      <c r="B7" s="18">
        <f>Dimensionamiento!C17</f>
        <v>550</v>
      </c>
      <c r="C7" s="149" t="s">
        <v>9</v>
      </c>
      <c r="D7" s="77"/>
      <c r="E7" s="348" t="s">
        <v>1</v>
      </c>
      <c r="F7" s="349">
        <f>B4</f>
        <v>4.8</v>
      </c>
      <c r="G7" s="349" t="s">
        <v>6</v>
      </c>
      <c r="H7" s="549" t="s">
        <v>604</v>
      </c>
      <c r="I7" s="548">
        <v>250</v>
      </c>
      <c r="J7" s="64"/>
      <c r="K7" s="64"/>
      <c r="L7" s="64"/>
      <c r="M7" s="77"/>
      <c r="N7" s="77"/>
      <c r="O7" s="77"/>
      <c r="P7" s="84"/>
      <c r="Q7" s="670" t="s">
        <v>621</v>
      </c>
      <c r="R7" s="671">
        <f>Fisuración!T7</f>
        <v>0.42375256212200973</v>
      </c>
    </row>
    <row r="8" spans="1:18" ht="18.600000000000001" thickBot="1">
      <c r="A8" s="2" t="s">
        <v>270</v>
      </c>
      <c r="B8" s="18">
        <f>Dimensionamiento!C22</f>
        <v>40</v>
      </c>
      <c r="C8" s="149" t="s">
        <v>7</v>
      </c>
      <c r="D8" s="77"/>
      <c r="E8" s="151" t="s">
        <v>248</v>
      </c>
      <c r="F8" s="152">
        <f>F7/I7</f>
        <v>1.9199999999999998E-2</v>
      </c>
      <c r="G8" s="153" t="s">
        <v>6</v>
      </c>
      <c r="H8" s="64"/>
      <c r="I8" s="64"/>
      <c r="J8" s="64"/>
      <c r="K8" s="64"/>
      <c r="L8" s="64"/>
      <c r="M8" s="77"/>
      <c r="N8" s="77"/>
      <c r="O8" s="77"/>
      <c r="P8" s="84"/>
      <c r="Q8" s="742" t="str">
        <f>Fisuración!S8</f>
        <v>Cumple requisitos</v>
      </c>
      <c r="R8" s="742"/>
    </row>
    <row r="9" spans="1:18" ht="15.6">
      <c r="A9" s="2" t="s">
        <v>242</v>
      </c>
      <c r="B9" s="339">
        <f>IF(B8&lt;50,0.3*(B8)^(2/3), 0.58*(B8)^(1/2))</f>
        <v>3.5088212858554391</v>
      </c>
      <c r="C9" s="149" t="s">
        <v>8</v>
      </c>
      <c r="D9" s="77"/>
      <c r="H9" s="64"/>
      <c r="N9" s="77"/>
      <c r="O9" s="77"/>
      <c r="P9" s="84"/>
    </row>
    <row r="10" spans="1:18" ht="15.6">
      <c r="A10" s="2" t="s">
        <v>624</v>
      </c>
      <c r="B10" s="339">
        <f>(1.6-(B7/1000))*B9</f>
        <v>3.6842623501482112</v>
      </c>
      <c r="C10" s="149" t="s">
        <v>8</v>
      </c>
      <c r="D10" s="77"/>
      <c r="E10" s="64"/>
      <c r="F10" s="64"/>
      <c r="G10" s="64"/>
      <c r="H10" s="64"/>
      <c r="I10" s="64"/>
      <c r="J10" s="64"/>
      <c r="K10" s="64"/>
      <c r="L10" s="64"/>
      <c r="M10" s="77"/>
      <c r="N10" s="77"/>
      <c r="O10" s="77"/>
      <c r="P10" s="84"/>
    </row>
    <row r="11" spans="1:18" ht="17.399999999999999" thickBot="1">
      <c r="A11" s="2" t="s">
        <v>271</v>
      </c>
      <c r="B11" s="18">
        <f>Dimensionamiento!C35</f>
        <v>200000</v>
      </c>
      <c r="C11" s="149" t="s">
        <v>588</v>
      </c>
      <c r="D11" s="77"/>
      <c r="E11" s="64"/>
      <c r="F11" s="64"/>
      <c r="G11" s="64"/>
      <c r="H11" s="64"/>
      <c r="I11" s="64"/>
      <c r="J11" s="64"/>
      <c r="K11" s="64"/>
      <c r="L11" s="64"/>
      <c r="M11" s="77"/>
      <c r="N11" s="77"/>
      <c r="O11" s="77"/>
      <c r="P11" s="84"/>
    </row>
    <row r="12" spans="1:18" ht="21.6" thickBot="1">
      <c r="A12" s="2" t="s">
        <v>272</v>
      </c>
      <c r="B12" s="340">
        <f>8500*(B13)^(1/3)</f>
        <v>30891.050078146371</v>
      </c>
      <c r="C12" s="149" t="s">
        <v>588</v>
      </c>
      <c r="D12" s="77"/>
      <c r="E12" s="834" t="s">
        <v>266</v>
      </c>
      <c r="F12" s="835"/>
      <c r="G12" s="836"/>
      <c r="H12" s="64"/>
      <c r="I12" s="64"/>
      <c r="J12" s="64"/>
      <c r="K12" s="834" t="s">
        <v>269</v>
      </c>
      <c r="L12" s="836"/>
      <c r="M12" s="77"/>
      <c r="N12" s="77"/>
      <c r="O12" s="77"/>
      <c r="P12" s="84"/>
    </row>
    <row r="13" spans="1:18" ht="15.6">
      <c r="A13" s="2" t="s">
        <v>273</v>
      </c>
      <c r="B13" s="18">
        <f>B8+8</f>
        <v>48</v>
      </c>
      <c r="C13" s="149" t="s">
        <v>8</v>
      </c>
      <c r="D13" s="77"/>
      <c r="E13" s="535"/>
      <c r="F13" s="536"/>
      <c r="G13" s="537"/>
      <c r="H13" s="837">
        <f>(5*B5*B4^4)/(384*B12*H15)*10^8</f>
        <v>5.5478403270258259</v>
      </c>
      <c r="I13" s="814" t="s">
        <v>9</v>
      </c>
      <c r="J13" s="64"/>
      <c r="K13" s="535"/>
      <c r="L13" s="537"/>
      <c r="M13" s="840">
        <f>B14/(B6*B16)</f>
        <v>1.0053096491487338E-2</v>
      </c>
      <c r="N13" s="77"/>
      <c r="O13" s="77"/>
      <c r="P13" s="84"/>
    </row>
    <row r="14" spans="1:18" ht="16.8">
      <c r="A14" s="2" t="s">
        <v>274</v>
      </c>
      <c r="B14" s="339">
        <f>Fisuración!G15</f>
        <v>1256.6370614359173</v>
      </c>
      <c r="C14" s="149" t="s">
        <v>589</v>
      </c>
      <c r="D14" s="77"/>
      <c r="E14" s="538"/>
      <c r="F14" s="284"/>
      <c r="G14" s="286"/>
      <c r="H14" s="838"/>
      <c r="I14" s="815"/>
      <c r="J14" s="64"/>
      <c r="K14" s="285"/>
      <c r="L14" s="286"/>
      <c r="M14" s="841"/>
      <c r="N14" s="77"/>
      <c r="O14" s="77"/>
      <c r="P14" s="84"/>
    </row>
    <row r="15" spans="1:18">
      <c r="A15" s="2" t="s">
        <v>267</v>
      </c>
      <c r="B15" s="602">
        <f>B11/B12</f>
        <v>6.4743671546953472</v>
      </c>
      <c r="C15" s="149"/>
      <c r="D15" s="64"/>
      <c r="E15" s="539"/>
      <c r="F15" s="220"/>
      <c r="G15" s="221"/>
      <c r="H15" s="818">
        <f>IF(H21&gt;H18,((H18/H21)^3)*H23+(1-((H18/H21)^3))*H25,H23)</f>
        <v>146807.58296262257</v>
      </c>
      <c r="I15" s="812" t="s">
        <v>282</v>
      </c>
      <c r="J15" s="64"/>
      <c r="K15" s="219"/>
      <c r="L15" s="221"/>
      <c r="M15" s="840">
        <f>2/(1+50*M13)</f>
        <v>1.3309776585361233</v>
      </c>
      <c r="N15" s="77"/>
      <c r="O15" s="77"/>
      <c r="P15" s="84"/>
    </row>
    <row r="16" spans="1:18" ht="18">
      <c r="A16" s="2" t="s">
        <v>34</v>
      </c>
      <c r="B16" s="341">
        <f>Dimensionamiento!G9</f>
        <v>500</v>
      </c>
      <c r="C16" s="150" t="s">
        <v>9</v>
      </c>
      <c r="D16" s="138"/>
      <c r="E16" s="540"/>
      <c r="F16" s="536"/>
      <c r="G16" s="537"/>
      <c r="H16" s="824"/>
      <c r="I16" s="839"/>
      <c r="J16" s="77"/>
      <c r="K16" s="285"/>
      <c r="L16" s="286"/>
      <c r="M16" s="841"/>
      <c r="N16" s="77"/>
      <c r="O16" s="77"/>
      <c r="P16" s="84"/>
    </row>
    <row r="17" spans="1:16">
      <c r="A17" s="134"/>
      <c r="B17" s="64"/>
      <c r="C17" s="64"/>
      <c r="D17" s="64"/>
      <c r="E17" s="285"/>
      <c r="F17" s="284"/>
      <c r="G17" s="286"/>
      <c r="H17" s="819"/>
      <c r="I17" s="813"/>
      <c r="J17" s="77"/>
      <c r="K17" s="219"/>
      <c r="L17" s="221"/>
      <c r="M17" s="816">
        <f>M15*H13</f>
        <v>7.384051528397114</v>
      </c>
      <c r="N17" s="814" t="s">
        <v>9</v>
      </c>
      <c r="O17" s="77"/>
      <c r="P17" s="84"/>
    </row>
    <row r="18" spans="1:16">
      <c r="A18" s="134"/>
      <c r="B18" s="64"/>
      <c r="C18" s="64"/>
      <c r="D18" s="64"/>
      <c r="E18" s="828"/>
      <c r="F18" s="829"/>
      <c r="G18" s="221"/>
      <c r="H18" s="818">
        <f>(B6/1000)*(B7/1000)^2*B10/6*1000</f>
        <v>46.43705670499309</v>
      </c>
      <c r="I18" s="812" t="s">
        <v>629</v>
      </c>
      <c r="J18" s="77"/>
      <c r="K18" s="285"/>
      <c r="L18" s="286"/>
      <c r="M18" s="817"/>
      <c r="N18" s="815"/>
      <c r="O18" s="77"/>
      <c r="P18" s="84"/>
    </row>
    <row r="19" spans="1:16">
      <c r="A19" s="134"/>
      <c r="B19" s="64"/>
      <c r="C19" s="64"/>
      <c r="D19" s="64"/>
      <c r="E19" s="830"/>
      <c r="F19" s="831"/>
      <c r="G19" s="537"/>
      <c r="H19" s="824"/>
      <c r="I19" s="839"/>
      <c r="J19" s="77"/>
      <c r="K19" s="77"/>
      <c r="L19" s="77"/>
      <c r="M19" s="77"/>
      <c r="N19" s="77"/>
      <c r="O19" s="77"/>
      <c r="P19" s="84"/>
    </row>
    <row r="20" spans="1:16">
      <c r="A20" s="134"/>
      <c r="B20" s="64"/>
      <c r="C20" s="64"/>
      <c r="D20" s="64"/>
      <c r="E20" s="832"/>
      <c r="F20" s="833"/>
      <c r="G20" s="286"/>
      <c r="H20" s="819"/>
      <c r="I20" s="813"/>
      <c r="J20" s="77"/>
      <c r="K20" s="77"/>
      <c r="L20" s="77"/>
      <c r="M20" s="77"/>
      <c r="N20" s="77"/>
      <c r="O20" s="77"/>
      <c r="P20" s="84"/>
    </row>
    <row r="21" spans="1:16" ht="15" thickBot="1">
      <c r="A21" s="134"/>
      <c r="B21" s="64"/>
      <c r="C21" s="64"/>
      <c r="D21" s="64"/>
      <c r="E21" s="219"/>
      <c r="F21" s="220"/>
      <c r="G21" s="221"/>
      <c r="H21" s="822">
        <f>(B5*B4^2)/8</f>
        <v>104.83199999999999</v>
      </c>
      <c r="I21" s="812" t="s">
        <v>26</v>
      </c>
      <c r="J21" s="77"/>
      <c r="K21" s="77"/>
      <c r="L21" s="77"/>
      <c r="M21" s="77"/>
      <c r="N21" s="77"/>
      <c r="O21" s="77"/>
      <c r="P21" s="84"/>
    </row>
    <row r="22" spans="1:16" ht="21.6" thickBot="1">
      <c r="A22" s="134"/>
      <c r="B22" s="64"/>
      <c r="C22" s="64"/>
      <c r="D22" s="64"/>
      <c r="E22" s="285"/>
      <c r="F22" s="284"/>
      <c r="G22" s="286"/>
      <c r="H22" s="823"/>
      <c r="I22" s="813"/>
      <c r="J22" s="77"/>
      <c r="K22" s="541" t="s">
        <v>275</v>
      </c>
      <c r="L22" s="584" t="s">
        <v>276</v>
      </c>
      <c r="M22" s="366">
        <f>(M17+H13)/1000</f>
        <v>1.293189185542294E-2</v>
      </c>
      <c r="N22" s="367" t="s">
        <v>6</v>
      </c>
      <c r="O22" s="350" t="str">
        <f>IF(F8&gt;M22,"Cumple","No cumple")</f>
        <v>Cumple</v>
      </c>
      <c r="P22" s="84"/>
    </row>
    <row r="23" spans="1:16">
      <c r="A23" s="110"/>
      <c r="B23" s="77"/>
      <c r="C23" s="77"/>
      <c r="D23" s="77"/>
      <c r="E23" s="219"/>
      <c r="F23" s="220"/>
      <c r="G23" s="221"/>
      <c r="H23" s="822">
        <f>(1/12)*(B6/10)*(B7/10)^3</f>
        <v>346614.58333333326</v>
      </c>
      <c r="I23" s="812" t="s">
        <v>282</v>
      </c>
      <c r="J23" s="77"/>
      <c r="K23" s="77"/>
      <c r="L23" s="77"/>
      <c r="M23" s="77"/>
      <c r="N23" s="77"/>
      <c r="O23" s="77"/>
      <c r="P23" s="84"/>
    </row>
    <row r="24" spans="1:16">
      <c r="A24" s="110"/>
      <c r="B24" s="77"/>
      <c r="C24" s="77"/>
      <c r="D24" s="77"/>
      <c r="E24" s="285"/>
      <c r="F24" s="284"/>
      <c r="G24" s="286"/>
      <c r="H24" s="823"/>
      <c r="I24" s="813"/>
      <c r="J24" s="77"/>
      <c r="K24" s="77"/>
      <c r="L24" s="77"/>
      <c r="M24" s="77"/>
      <c r="N24" s="77"/>
      <c r="O24" s="77"/>
      <c r="P24" s="84"/>
    </row>
    <row r="25" spans="1:16">
      <c r="A25" s="110"/>
      <c r="B25" s="77"/>
      <c r="C25" s="77"/>
      <c r="D25" s="77"/>
      <c r="E25" s="219"/>
      <c r="F25" s="220"/>
      <c r="G25" s="221"/>
      <c r="H25" s="820">
        <f>(1/3)*(B6/10)*((H27/10)^3)+B15*(B14/100)*(((B16/10)-(H27/10))^2)</f>
        <v>127787.44692542905</v>
      </c>
      <c r="I25" s="812" t="s">
        <v>282</v>
      </c>
      <c r="J25" s="77"/>
      <c r="K25" s="77"/>
      <c r="L25" s="77"/>
      <c r="M25" s="77"/>
      <c r="N25" s="77"/>
      <c r="O25" s="77"/>
      <c r="P25" s="84"/>
    </row>
    <row r="26" spans="1:16">
      <c r="A26" s="110"/>
      <c r="B26" s="77"/>
      <c r="C26" s="77"/>
      <c r="D26" s="77"/>
      <c r="E26" s="285"/>
      <c r="F26" s="284"/>
      <c r="G26" s="286"/>
      <c r="H26" s="821"/>
      <c r="I26" s="813"/>
      <c r="J26" s="77"/>
      <c r="K26" s="77"/>
      <c r="L26" s="77"/>
      <c r="M26" s="77"/>
      <c r="N26" s="77"/>
      <c r="O26" s="77"/>
      <c r="P26" s="84"/>
    </row>
    <row r="27" spans="1:16">
      <c r="A27" s="110"/>
      <c r="B27" s="77"/>
      <c r="C27" s="77"/>
      <c r="D27" s="77"/>
      <c r="E27" s="219"/>
      <c r="F27" s="220"/>
      <c r="G27" s="221"/>
      <c r="H27" s="818">
        <f>(-B15*(Flecha!B14)+SQRT(((Flecha!B15*Flecha!B14)^2)+2*Flecha!B6*Flecha!B15*Flecha!B14*Flecha!B16))/Flecha!B6</f>
        <v>150.76698049998558</v>
      </c>
      <c r="I27" s="812" t="s">
        <v>9</v>
      </c>
      <c r="J27" s="77"/>
      <c r="K27" s="77"/>
      <c r="L27" s="77"/>
      <c r="M27" s="77"/>
      <c r="N27" s="77"/>
      <c r="O27" s="77"/>
      <c r="P27" s="84"/>
    </row>
    <row r="28" spans="1:16">
      <c r="A28" s="110"/>
      <c r="B28" s="77"/>
      <c r="C28" s="77"/>
      <c r="D28" s="77"/>
      <c r="E28" s="285"/>
      <c r="F28" s="284"/>
      <c r="G28" s="286"/>
      <c r="H28" s="819"/>
      <c r="I28" s="813"/>
      <c r="J28" s="77"/>
      <c r="K28" s="77"/>
      <c r="L28" s="77"/>
      <c r="M28" s="77"/>
      <c r="N28" s="77"/>
      <c r="O28" s="77"/>
      <c r="P28" s="84"/>
    </row>
    <row r="29" spans="1:16">
      <c r="A29" s="110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84"/>
    </row>
    <row r="30" spans="1:16">
      <c r="A30" s="110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84"/>
    </row>
    <row r="31" spans="1:16">
      <c r="A31" s="110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84"/>
    </row>
    <row r="32" spans="1:16">
      <c r="A32" s="110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84"/>
    </row>
    <row r="33" spans="1:16">
      <c r="A33" s="110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4"/>
    </row>
    <row r="34" spans="1:16" ht="15" thickBot="1">
      <c r="A34" s="14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</row>
  </sheetData>
  <mergeCells count="23">
    <mergeCell ref="Q8:R8"/>
    <mergeCell ref="E5:I5"/>
    <mergeCell ref="E18:F20"/>
    <mergeCell ref="E12:G12"/>
    <mergeCell ref="H13:H14"/>
    <mergeCell ref="H15:H17"/>
    <mergeCell ref="K12:L12"/>
    <mergeCell ref="I13:I14"/>
    <mergeCell ref="I15:I17"/>
    <mergeCell ref="I18:I20"/>
    <mergeCell ref="M13:M14"/>
    <mergeCell ref="M15:M16"/>
    <mergeCell ref="H27:H28"/>
    <mergeCell ref="H25:H26"/>
    <mergeCell ref="H23:H24"/>
    <mergeCell ref="H21:H22"/>
    <mergeCell ref="H18:H20"/>
    <mergeCell ref="I21:I22"/>
    <mergeCell ref="N17:N18"/>
    <mergeCell ref="I23:I24"/>
    <mergeCell ref="I25:I26"/>
    <mergeCell ref="I27:I28"/>
    <mergeCell ref="M17:M18"/>
  </mergeCells>
  <conditionalFormatting sqref="Q8:R8">
    <cfRule type="containsText" dxfId="2" priority="1" operator="containsText" text="Cumple requisitos">
      <formula>NOT(ISERROR(SEARCH("Cumple requisitos",Q8)))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5"/>
  <sheetViews>
    <sheetView showGridLines="0" topLeftCell="A3" workbookViewId="0">
      <selection activeCell="D92" sqref="D92"/>
    </sheetView>
  </sheetViews>
  <sheetFormatPr baseColWidth="10" defaultRowHeight="14.4"/>
  <cols>
    <col min="9" max="9" width="14.21875" customWidth="1"/>
    <col min="10" max="10" width="16.109375" customWidth="1"/>
  </cols>
  <sheetData>
    <row r="3" spans="2:12" ht="15" thickBot="1"/>
    <row r="4" spans="2:12">
      <c r="B4" s="878" t="s">
        <v>152</v>
      </c>
      <c r="C4" s="877"/>
      <c r="D4" s="877"/>
      <c r="E4" s="877"/>
      <c r="F4" s="877"/>
      <c r="G4" s="877"/>
      <c r="H4" s="877"/>
      <c r="I4" s="877"/>
      <c r="J4" s="879"/>
    </row>
    <row r="5" spans="2:12">
      <c r="B5" s="861" t="s">
        <v>153</v>
      </c>
      <c r="C5" s="862"/>
      <c r="D5" s="880"/>
      <c r="E5" s="78" t="s">
        <v>204</v>
      </c>
      <c r="F5" s="79" t="s">
        <v>155</v>
      </c>
      <c r="G5" s="74" t="s">
        <v>137</v>
      </c>
      <c r="H5" s="74" t="s">
        <v>138</v>
      </c>
      <c r="I5" s="74" t="s">
        <v>139</v>
      </c>
      <c r="J5" s="80" t="s">
        <v>140</v>
      </c>
    </row>
    <row r="6" spans="2:12">
      <c r="B6" s="848"/>
      <c r="C6" s="863"/>
      <c r="D6" s="881"/>
      <c r="E6" s="81"/>
      <c r="F6" s="82" t="s">
        <v>156</v>
      </c>
      <c r="G6" s="82" t="s">
        <v>156</v>
      </c>
      <c r="H6" s="82" t="s">
        <v>156</v>
      </c>
      <c r="I6" s="82" t="s">
        <v>156</v>
      </c>
      <c r="J6" s="83" t="s">
        <v>156</v>
      </c>
    </row>
    <row r="7" spans="2:12">
      <c r="B7" s="867" t="s">
        <v>157</v>
      </c>
      <c r="C7" s="868"/>
      <c r="D7" s="869"/>
      <c r="E7" s="411" t="s">
        <v>115</v>
      </c>
      <c r="F7" s="411">
        <v>1000.2</v>
      </c>
      <c r="G7" s="411">
        <v>1042</v>
      </c>
      <c r="H7" s="411">
        <v>1042</v>
      </c>
      <c r="I7" s="411">
        <v>1042</v>
      </c>
      <c r="J7" s="84">
        <v>0</v>
      </c>
    </row>
    <row r="8" spans="2:12" ht="16.2">
      <c r="B8" s="867" t="s">
        <v>158</v>
      </c>
      <c r="C8" s="868"/>
      <c r="D8" s="869"/>
      <c r="E8" s="411" t="s">
        <v>114</v>
      </c>
      <c r="F8" s="411">
        <v>9.1899999999999996E-2</v>
      </c>
      <c r="G8" s="411">
        <v>0.26500000000000001</v>
      </c>
      <c r="H8" s="411">
        <v>0.56240000000000001</v>
      </c>
      <c r="I8" s="411">
        <v>0.1232</v>
      </c>
      <c r="J8" s="84">
        <v>6.6E-3</v>
      </c>
    </row>
    <row r="9" spans="2:12">
      <c r="B9" s="867" t="s">
        <v>159</v>
      </c>
      <c r="C9" s="868"/>
      <c r="D9" s="869"/>
      <c r="E9" s="411" t="s">
        <v>160</v>
      </c>
      <c r="F9" s="411">
        <v>38</v>
      </c>
      <c r="G9" s="411">
        <v>349.21</v>
      </c>
      <c r="H9" s="411">
        <v>858.9</v>
      </c>
      <c r="I9" s="411">
        <v>35.85</v>
      </c>
      <c r="J9" s="84">
        <v>18.489999999999998</v>
      </c>
    </row>
    <row r="10" spans="2:12">
      <c r="B10" s="867" t="s">
        <v>161</v>
      </c>
      <c r="C10" s="868"/>
      <c r="D10" s="869"/>
      <c r="E10" s="411" t="s">
        <v>115</v>
      </c>
      <c r="F10" s="411">
        <v>2.5299999999999998</v>
      </c>
      <c r="G10" s="411">
        <v>22.99</v>
      </c>
      <c r="H10" s="411">
        <v>56.47</v>
      </c>
      <c r="I10" s="411">
        <v>2.41</v>
      </c>
      <c r="J10" s="84">
        <v>1.22</v>
      </c>
    </row>
    <row r="11" spans="2:12">
      <c r="B11" s="867" t="s">
        <v>162</v>
      </c>
      <c r="C11" s="868"/>
      <c r="D11" s="869"/>
      <c r="E11" s="411" t="s">
        <v>163</v>
      </c>
      <c r="F11" s="411">
        <v>8.14</v>
      </c>
      <c r="G11" s="411">
        <v>55.97</v>
      </c>
      <c r="H11" s="411">
        <v>131.76</v>
      </c>
      <c r="I11" s="411">
        <v>9.73</v>
      </c>
      <c r="J11" s="84">
        <v>1.74</v>
      </c>
    </row>
    <row r="12" spans="2:12">
      <c r="B12" s="867" t="s">
        <v>164</v>
      </c>
      <c r="C12" s="868"/>
      <c r="D12" s="869"/>
      <c r="E12" s="411" t="s">
        <v>163</v>
      </c>
      <c r="F12" s="411">
        <v>0.09</v>
      </c>
      <c r="G12" s="411">
        <v>0.48</v>
      </c>
      <c r="H12" s="411">
        <v>1.0900000000000001</v>
      </c>
      <c r="I12" s="411">
        <v>0.12</v>
      </c>
      <c r="J12" s="84">
        <v>0.02</v>
      </c>
    </row>
    <row r="13" spans="2:12" ht="15" thickBot="1">
      <c r="B13" s="857"/>
      <c r="C13" s="858"/>
      <c r="D13" s="859"/>
      <c r="E13" s="85"/>
      <c r="F13" s="85"/>
      <c r="G13" s="85"/>
      <c r="H13" s="85"/>
      <c r="I13" s="85"/>
      <c r="J13" s="86"/>
    </row>
    <row r="14" spans="2:12">
      <c r="E14" s="877" t="s">
        <v>641</v>
      </c>
      <c r="F14" s="877"/>
      <c r="G14" s="877"/>
      <c r="H14" s="877"/>
      <c r="I14" s="877"/>
      <c r="J14" s="877"/>
    </row>
    <row r="15" spans="2:12" ht="15" thickBot="1"/>
    <row r="16" spans="2:12">
      <c r="B16" s="842" t="s">
        <v>165</v>
      </c>
      <c r="C16" s="860"/>
      <c r="D16" s="860"/>
      <c r="E16" s="860"/>
      <c r="F16" s="860"/>
      <c r="G16" s="860"/>
      <c r="H16" s="860"/>
      <c r="I16" s="860"/>
      <c r="J16" s="860"/>
      <c r="K16" s="860"/>
      <c r="L16" s="843"/>
    </row>
    <row r="17" spans="2:12">
      <c r="B17" s="861" t="s">
        <v>153</v>
      </c>
      <c r="C17" s="862"/>
      <c r="D17" s="862"/>
      <c r="E17" s="864" t="s">
        <v>204</v>
      </c>
      <c r="F17" s="78" t="s">
        <v>166</v>
      </c>
      <c r="G17" s="78" t="s">
        <v>167</v>
      </c>
      <c r="H17" s="78" t="s">
        <v>168</v>
      </c>
      <c r="I17" s="78" t="s">
        <v>129</v>
      </c>
      <c r="J17" s="78" t="s">
        <v>130</v>
      </c>
      <c r="K17" s="78" t="s">
        <v>131</v>
      </c>
      <c r="L17" s="87" t="s">
        <v>132</v>
      </c>
    </row>
    <row r="18" spans="2:12">
      <c r="B18" s="846"/>
      <c r="C18" s="855"/>
      <c r="D18" s="855"/>
      <c r="E18" s="865"/>
      <c r="F18" s="88" t="s">
        <v>169</v>
      </c>
      <c r="G18" s="89" t="s">
        <v>169</v>
      </c>
      <c r="H18" s="600" t="s">
        <v>169</v>
      </c>
      <c r="I18" s="89" t="s">
        <v>170</v>
      </c>
      <c r="J18" s="89" t="s">
        <v>171</v>
      </c>
      <c r="K18" s="89" t="s">
        <v>172</v>
      </c>
      <c r="L18" s="91" t="s">
        <v>173</v>
      </c>
    </row>
    <row r="19" spans="2:12">
      <c r="B19" s="848"/>
      <c r="C19" s="863"/>
      <c r="D19" s="863"/>
      <c r="E19" s="866"/>
      <c r="F19" s="82" t="s">
        <v>156</v>
      </c>
      <c r="G19" s="82" t="s">
        <v>156</v>
      </c>
      <c r="H19" s="82" t="s">
        <v>156</v>
      </c>
      <c r="I19" s="82" t="s">
        <v>156</v>
      </c>
      <c r="J19" s="82" t="s">
        <v>156</v>
      </c>
      <c r="K19" s="82" t="s">
        <v>174</v>
      </c>
      <c r="L19" s="83" t="s">
        <v>156</v>
      </c>
    </row>
    <row r="20" spans="2:12">
      <c r="B20" s="867" t="s">
        <v>157</v>
      </c>
      <c r="C20" s="868"/>
      <c r="D20" s="869"/>
      <c r="E20" s="599" t="s">
        <v>115</v>
      </c>
      <c r="F20" s="411">
        <v>2848.9</v>
      </c>
      <c r="G20" s="411">
        <v>2848.9</v>
      </c>
      <c r="H20" s="411">
        <v>2848.9</v>
      </c>
      <c r="I20" s="411">
        <v>2231.6</v>
      </c>
      <c r="J20" s="411">
        <v>2082.8000000000002</v>
      </c>
      <c r="K20" s="64">
        <v>2741</v>
      </c>
      <c r="L20" s="93">
        <v>1505</v>
      </c>
    </row>
    <row r="21" spans="2:12" ht="16.2">
      <c r="B21" s="867" t="s">
        <v>158</v>
      </c>
      <c r="C21" s="868"/>
      <c r="D21" s="869"/>
      <c r="E21" s="599" t="s">
        <v>114</v>
      </c>
      <c r="F21" s="411">
        <v>2.0470999999999999</v>
      </c>
      <c r="G21" s="411">
        <v>2.0470999999999999</v>
      </c>
      <c r="H21" s="411">
        <v>2.0470999999999999</v>
      </c>
      <c r="I21" s="411">
        <v>2.0468999999999999</v>
      </c>
      <c r="J21" s="411">
        <v>2.0468000000000002</v>
      </c>
      <c r="K21" s="64">
        <v>2.0470999999999999</v>
      </c>
      <c r="L21" s="93">
        <v>2.0466000000000002</v>
      </c>
    </row>
    <row r="22" spans="2:12">
      <c r="B22" s="867" t="s">
        <v>159</v>
      </c>
      <c r="C22" s="868"/>
      <c r="D22" s="869"/>
      <c r="E22" s="599" t="s">
        <v>160</v>
      </c>
      <c r="F22" s="411">
        <v>5115.8</v>
      </c>
      <c r="G22" s="411">
        <v>4830.8</v>
      </c>
      <c r="H22" s="411">
        <v>4685.3</v>
      </c>
      <c r="I22" s="411">
        <v>3969.8</v>
      </c>
      <c r="J22" s="411">
        <v>3790.7</v>
      </c>
      <c r="K22" s="64">
        <v>4646.3999999999996</v>
      </c>
      <c r="L22" s="93">
        <v>3380.3</v>
      </c>
    </row>
    <row r="23" spans="2:12">
      <c r="B23" s="867" t="s">
        <v>161</v>
      </c>
      <c r="C23" s="868"/>
      <c r="D23" s="869"/>
      <c r="E23" s="599" t="s">
        <v>115</v>
      </c>
      <c r="F23" s="411">
        <v>828.6</v>
      </c>
      <c r="G23" s="411">
        <v>827.2</v>
      </c>
      <c r="H23" s="411">
        <v>826.8</v>
      </c>
      <c r="I23" s="411">
        <v>649.6</v>
      </c>
      <c r="J23" s="411">
        <v>579.20000000000005</v>
      </c>
      <c r="K23" s="64">
        <v>779.3</v>
      </c>
      <c r="L23" s="93">
        <v>439.5</v>
      </c>
    </row>
    <row r="24" spans="2:12">
      <c r="B24" s="867" t="s">
        <v>162</v>
      </c>
      <c r="C24" s="868"/>
      <c r="D24" s="869"/>
      <c r="E24" s="599" t="s">
        <v>163</v>
      </c>
      <c r="F24" s="411">
        <v>2601.5</v>
      </c>
      <c r="G24" s="411">
        <v>2559.6999999999998</v>
      </c>
      <c r="H24" s="411">
        <v>2538.3000000000002</v>
      </c>
      <c r="I24" s="411">
        <v>2033.4</v>
      </c>
      <c r="J24" s="411">
        <v>1848</v>
      </c>
      <c r="K24" s="64">
        <v>2424.8000000000002</v>
      </c>
      <c r="L24" s="84">
        <v>1471.1</v>
      </c>
    </row>
    <row r="25" spans="2:12">
      <c r="B25" s="867" t="s">
        <v>164</v>
      </c>
      <c r="C25" s="868"/>
      <c r="D25" s="869"/>
      <c r="E25" s="599" t="s">
        <v>163</v>
      </c>
      <c r="F25" s="411">
        <v>87.9</v>
      </c>
      <c r="G25" s="411">
        <v>87.5</v>
      </c>
      <c r="H25" s="411">
        <v>87.4</v>
      </c>
      <c r="I25" s="411">
        <v>70.2</v>
      </c>
      <c r="J25" s="411">
        <v>62.9</v>
      </c>
      <c r="K25" s="64">
        <v>82.6</v>
      </c>
      <c r="L25" s="93">
        <v>50</v>
      </c>
    </row>
    <row r="26" spans="2:12" ht="15" thickBot="1">
      <c r="B26" s="857"/>
      <c r="C26" s="858"/>
      <c r="D26" s="859"/>
      <c r="E26" s="85"/>
      <c r="F26" s="85"/>
      <c r="G26" s="85"/>
      <c r="H26" s="85"/>
      <c r="I26" s="85"/>
      <c r="J26" s="85"/>
      <c r="K26" s="85"/>
      <c r="L26" s="86"/>
    </row>
    <row r="27" spans="2:12">
      <c r="E27" s="877" t="s">
        <v>641</v>
      </c>
      <c r="F27" s="877"/>
      <c r="G27" s="877"/>
      <c r="H27" s="877"/>
      <c r="I27" s="877"/>
      <c r="J27" s="877"/>
      <c r="K27" s="877"/>
      <c r="L27" s="877"/>
    </row>
    <row r="31" spans="2:12" ht="15" thickBot="1"/>
    <row r="32" spans="2:12">
      <c r="B32" s="842" t="s">
        <v>640</v>
      </c>
      <c r="C32" s="860"/>
      <c r="D32" s="860"/>
      <c r="E32" s="860"/>
      <c r="F32" s="860"/>
      <c r="G32" s="843"/>
    </row>
    <row r="33" spans="2:10">
      <c r="B33" s="861" t="s">
        <v>153</v>
      </c>
      <c r="C33" s="862"/>
      <c r="D33" s="862"/>
      <c r="E33" s="864" t="s">
        <v>204</v>
      </c>
      <c r="F33" s="864" t="s">
        <v>630</v>
      </c>
      <c r="G33" s="875" t="s">
        <v>141</v>
      </c>
    </row>
    <row r="34" spans="2:10">
      <c r="B34" s="846"/>
      <c r="C34" s="855"/>
      <c r="D34" s="855"/>
      <c r="E34" s="865"/>
      <c r="F34" s="865"/>
      <c r="G34" s="876"/>
    </row>
    <row r="35" spans="2:10">
      <c r="B35" s="848"/>
      <c r="C35" s="863"/>
      <c r="D35" s="863"/>
      <c r="E35" s="866"/>
      <c r="F35" s="82" t="s">
        <v>156</v>
      </c>
      <c r="G35" s="83" t="s">
        <v>156</v>
      </c>
    </row>
    <row r="36" spans="2:10">
      <c r="B36" s="867" t="s">
        <v>157</v>
      </c>
      <c r="C36" s="868"/>
      <c r="D36" s="869"/>
      <c r="E36" s="92" t="s">
        <v>115</v>
      </c>
      <c r="F36" s="77">
        <v>91.1</v>
      </c>
      <c r="G36" s="84">
        <v>0</v>
      </c>
    </row>
    <row r="37" spans="2:10" ht="16.2">
      <c r="B37" s="867" t="s">
        <v>158</v>
      </c>
      <c r="C37" s="868"/>
      <c r="D37" s="869"/>
      <c r="E37" s="92" t="s">
        <v>114</v>
      </c>
      <c r="F37" s="77">
        <v>7.4</v>
      </c>
      <c r="G37" s="84">
        <v>1</v>
      </c>
    </row>
    <row r="38" spans="2:10">
      <c r="B38" s="867" t="s">
        <v>159</v>
      </c>
      <c r="C38" s="868"/>
      <c r="D38" s="869"/>
      <c r="E38" s="92" t="s">
        <v>160</v>
      </c>
      <c r="F38" s="77">
        <v>28857</v>
      </c>
      <c r="G38" s="84">
        <v>5</v>
      </c>
    </row>
    <row r="39" spans="2:10">
      <c r="B39" s="867" t="s">
        <v>161</v>
      </c>
      <c r="C39" s="868"/>
      <c r="D39" s="869"/>
      <c r="E39" s="92" t="s">
        <v>115</v>
      </c>
      <c r="F39" s="77">
        <v>2731.9</v>
      </c>
      <c r="G39" s="84">
        <v>0.33100000000000002</v>
      </c>
    </row>
    <row r="40" spans="2:10">
      <c r="B40" s="867" t="s">
        <v>162</v>
      </c>
      <c r="C40" s="868"/>
      <c r="D40" s="869"/>
      <c r="E40" s="92" t="s">
        <v>163</v>
      </c>
      <c r="F40" s="77">
        <v>19706.5</v>
      </c>
      <c r="G40" s="84">
        <v>2.3650000000000002</v>
      </c>
    </row>
    <row r="41" spans="2:10">
      <c r="B41" s="867" t="s">
        <v>164</v>
      </c>
      <c r="C41" s="868"/>
      <c r="D41" s="869"/>
      <c r="E41" s="92" t="s">
        <v>163</v>
      </c>
      <c r="F41" s="77">
        <v>1040.8</v>
      </c>
      <c r="G41" s="84">
        <v>0.122</v>
      </c>
    </row>
    <row r="42" spans="2:10" ht="15" thickBot="1">
      <c r="B42" s="857" t="s">
        <v>145</v>
      </c>
      <c r="C42" s="858"/>
      <c r="D42" s="859"/>
      <c r="E42" s="85"/>
      <c r="F42" s="94" t="s">
        <v>175</v>
      </c>
      <c r="G42" s="95" t="s">
        <v>176</v>
      </c>
    </row>
    <row r="47" spans="2:10" ht="15" thickBot="1"/>
    <row r="48" spans="2:10">
      <c r="B48" s="842" t="s">
        <v>635</v>
      </c>
      <c r="C48" s="860"/>
      <c r="D48" s="860"/>
      <c r="E48" s="860"/>
      <c r="F48" s="860"/>
      <c r="G48" s="860"/>
      <c r="H48" s="843"/>
      <c r="I48" s="842" t="s">
        <v>516</v>
      </c>
      <c r="J48" s="843"/>
    </row>
    <row r="49" spans="2:10">
      <c r="B49" s="861" t="s">
        <v>153</v>
      </c>
      <c r="C49" s="862"/>
      <c r="D49" s="862"/>
      <c r="E49" s="864" t="s">
        <v>154</v>
      </c>
      <c r="F49" s="78" t="s">
        <v>201</v>
      </c>
      <c r="G49" s="78" t="s">
        <v>201</v>
      </c>
      <c r="H49" s="87" t="s">
        <v>177</v>
      </c>
      <c r="I49" s="844" t="s">
        <v>518</v>
      </c>
      <c r="J49" s="845"/>
    </row>
    <row r="50" spans="2:10">
      <c r="B50" s="846"/>
      <c r="C50" s="855"/>
      <c r="D50" s="855"/>
      <c r="E50" s="865"/>
      <c r="F50" s="88" t="s">
        <v>202</v>
      </c>
      <c r="G50" s="89" t="s">
        <v>203</v>
      </c>
      <c r="H50" s="96" t="s">
        <v>178</v>
      </c>
      <c r="I50" s="846" t="s">
        <v>517</v>
      </c>
      <c r="J50" s="847"/>
    </row>
    <row r="51" spans="2:10">
      <c r="B51" s="848"/>
      <c r="C51" s="863"/>
      <c r="D51" s="863"/>
      <c r="E51" s="866"/>
      <c r="F51" s="82" t="s">
        <v>156</v>
      </c>
      <c r="G51" s="82" t="s">
        <v>156</v>
      </c>
      <c r="H51" s="83" t="s">
        <v>156</v>
      </c>
      <c r="I51" s="848"/>
      <c r="J51" s="849"/>
    </row>
    <row r="52" spans="2:10">
      <c r="B52" s="867" t="s">
        <v>157</v>
      </c>
      <c r="C52" s="868"/>
      <c r="D52" s="869"/>
      <c r="E52" s="92" t="s">
        <v>115</v>
      </c>
      <c r="F52" s="77">
        <v>1823.2</v>
      </c>
      <c r="G52" s="77">
        <v>1881.2</v>
      </c>
      <c r="H52" s="84">
        <v>1808.8</v>
      </c>
      <c r="I52" s="852">
        <v>565.25</v>
      </c>
      <c r="J52" s="853"/>
    </row>
    <row r="53" spans="2:10" ht="16.2">
      <c r="B53" s="867" t="s">
        <v>158</v>
      </c>
      <c r="C53" s="868"/>
      <c r="D53" s="869"/>
      <c r="E53" s="92" t="s">
        <v>114</v>
      </c>
      <c r="F53" s="77">
        <v>3.09</v>
      </c>
      <c r="G53" s="77">
        <v>2.95</v>
      </c>
      <c r="H53" s="84">
        <v>2.78</v>
      </c>
      <c r="I53" s="844">
        <v>0.86799999999999999</v>
      </c>
      <c r="J53" s="845"/>
    </row>
    <row r="54" spans="2:10">
      <c r="B54" s="867" t="s">
        <v>159</v>
      </c>
      <c r="C54" s="868"/>
      <c r="D54" s="869"/>
      <c r="E54" s="92" t="s">
        <v>160</v>
      </c>
      <c r="F54" s="77">
        <v>27311.200000000001</v>
      </c>
      <c r="G54" s="77">
        <v>31895.200000000001</v>
      </c>
      <c r="H54" s="84">
        <v>26552</v>
      </c>
      <c r="I54" s="844">
        <v>8800</v>
      </c>
      <c r="J54" s="845"/>
    </row>
    <row r="55" spans="2:10">
      <c r="B55" s="867" t="s">
        <v>161</v>
      </c>
      <c r="C55" s="868"/>
      <c r="D55" s="869"/>
      <c r="E55" s="92" t="s">
        <v>115</v>
      </c>
      <c r="F55" s="77">
        <v>2505.4</v>
      </c>
      <c r="G55" s="77">
        <v>2776.7</v>
      </c>
      <c r="H55" s="84">
        <v>2433.3000000000002</v>
      </c>
      <c r="I55" s="844">
        <v>513</v>
      </c>
      <c r="J55" s="845"/>
    </row>
    <row r="56" spans="2:10">
      <c r="B56" s="867" t="s">
        <v>162</v>
      </c>
      <c r="C56" s="868"/>
      <c r="D56" s="869"/>
      <c r="E56" s="92" t="s">
        <v>163</v>
      </c>
      <c r="F56" s="77">
        <v>15519.1</v>
      </c>
      <c r="G56" s="77">
        <v>16325</v>
      </c>
      <c r="H56" s="84">
        <v>15040.2</v>
      </c>
      <c r="I56" s="844">
        <v>4700</v>
      </c>
      <c r="J56" s="845"/>
    </row>
    <row r="57" spans="2:10">
      <c r="B57" s="867" t="s">
        <v>164</v>
      </c>
      <c r="C57" s="868"/>
      <c r="D57" s="869"/>
      <c r="E57" s="92" t="s">
        <v>163</v>
      </c>
      <c r="F57" s="77">
        <v>620.29999999999995</v>
      </c>
      <c r="G57" s="77">
        <v>648.79999999999995</v>
      </c>
      <c r="H57" s="84">
        <v>597.29999999999995</v>
      </c>
      <c r="I57" s="844">
        <v>186.56</v>
      </c>
      <c r="J57" s="845"/>
    </row>
    <row r="58" spans="2:10" ht="15" thickBot="1">
      <c r="B58" s="857" t="s">
        <v>145</v>
      </c>
      <c r="C58" s="858"/>
      <c r="D58" s="859"/>
      <c r="E58" s="85"/>
      <c r="F58" s="557" t="s">
        <v>179</v>
      </c>
      <c r="G58" s="557" t="s">
        <v>179</v>
      </c>
      <c r="H58" s="551" t="s">
        <v>176</v>
      </c>
      <c r="I58" s="850" t="s">
        <v>179</v>
      </c>
      <c r="J58" s="851"/>
    </row>
    <row r="63" spans="2:10" ht="15" thickBot="1"/>
    <row r="64" spans="2:10">
      <c r="B64" s="872" t="s">
        <v>180</v>
      </c>
      <c r="C64" s="873"/>
      <c r="D64" s="873"/>
      <c r="E64" s="873"/>
      <c r="F64" s="873"/>
      <c r="G64" s="873"/>
      <c r="H64" s="873"/>
      <c r="I64" s="873"/>
      <c r="J64" s="874"/>
    </row>
    <row r="65" spans="2:10">
      <c r="B65" s="861" t="s">
        <v>153</v>
      </c>
      <c r="C65" s="862"/>
      <c r="D65" s="862"/>
      <c r="E65" s="864" t="s">
        <v>154</v>
      </c>
      <c r="F65" s="78" t="s">
        <v>181</v>
      </c>
      <c r="G65" s="78" t="s">
        <v>182</v>
      </c>
      <c r="H65" s="78" t="s">
        <v>183</v>
      </c>
      <c r="I65" s="78" t="s">
        <v>184</v>
      </c>
      <c r="J65" s="87" t="s">
        <v>185</v>
      </c>
    </row>
    <row r="66" spans="2:10">
      <c r="B66" s="846"/>
      <c r="C66" s="855"/>
      <c r="D66" s="855"/>
      <c r="E66" s="865"/>
      <c r="F66" s="88" t="s">
        <v>186</v>
      </c>
      <c r="G66" s="89"/>
      <c r="H66" s="90" t="s">
        <v>187</v>
      </c>
      <c r="I66" s="89" t="s">
        <v>188</v>
      </c>
      <c r="J66" s="91" t="s">
        <v>189</v>
      </c>
    </row>
    <row r="67" spans="2:10" ht="16.2">
      <c r="B67" s="848"/>
      <c r="C67" s="863"/>
      <c r="D67" s="863"/>
      <c r="E67" s="866"/>
      <c r="F67" s="82" t="s">
        <v>206</v>
      </c>
      <c r="G67" s="82" t="s">
        <v>195</v>
      </c>
      <c r="H67" s="82" t="s">
        <v>206</v>
      </c>
      <c r="I67" s="82" t="s">
        <v>206</v>
      </c>
      <c r="J67" s="83" t="s">
        <v>156</v>
      </c>
    </row>
    <row r="68" spans="2:10">
      <c r="B68" s="867" t="s">
        <v>157</v>
      </c>
      <c r="C68" s="868"/>
      <c r="D68" s="869"/>
      <c r="E68" s="92" t="s">
        <v>115</v>
      </c>
      <c r="F68" s="77"/>
      <c r="G68" s="77"/>
      <c r="H68" s="77"/>
      <c r="I68" s="77"/>
      <c r="J68" s="84"/>
    </row>
    <row r="69" spans="2:10" ht="16.2">
      <c r="B69" s="867" t="s">
        <v>158</v>
      </c>
      <c r="C69" s="868"/>
      <c r="D69" s="869"/>
      <c r="E69" s="92" t="s">
        <v>114</v>
      </c>
      <c r="F69" s="77">
        <v>0.11260000000000001</v>
      </c>
      <c r="G69" s="77"/>
      <c r="H69" s="77"/>
      <c r="I69" s="77">
        <v>9.6600000000000005E-2</v>
      </c>
      <c r="J69" s="84"/>
    </row>
    <row r="70" spans="2:10">
      <c r="B70" s="867" t="s">
        <v>159</v>
      </c>
      <c r="C70" s="868"/>
      <c r="D70" s="869"/>
      <c r="E70" s="92" t="s">
        <v>160</v>
      </c>
      <c r="F70" s="77">
        <v>79.22</v>
      </c>
      <c r="G70" s="77">
        <v>41</v>
      </c>
      <c r="H70" s="77">
        <v>18.78</v>
      </c>
      <c r="I70" s="77">
        <v>935.26</v>
      </c>
      <c r="J70" s="84">
        <v>84.08</v>
      </c>
    </row>
    <row r="71" spans="2:10">
      <c r="B71" s="867" t="s">
        <v>161</v>
      </c>
      <c r="C71" s="868"/>
      <c r="D71" s="869"/>
      <c r="E71" s="92" t="s">
        <v>115</v>
      </c>
      <c r="F71" s="77">
        <v>5.04</v>
      </c>
      <c r="G71" s="77">
        <v>4.0999999999999996</v>
      </c>
      <c r="H71" s="77">
        <v>1.37</v>
      </c>
      <c r="I71" s="77">
        <v>59.27</v>
      </c>
      <c r="J71" s="84">
        <v>6.14</v>
      </c>
    </row>
    <row r="72" spans="2:10">
      <c r="B72" s="867" t="s">
        <v>162</v>
      </c>
      <c r="C72" s="868"/>
      <c r="D72" s="869"/>
      <c r="E72" s="92" t="s">
        <v>163</v>
      </c>
      <c r="F72" s="77">
        <v>10.28</v>
      </c>
      <c r="G72" s="77">
        <v>6.0000000000000001E-3</v>
      </c>
      <c r="H72" s="77">
        <v>12.7</v>
      </c>
      <c r="I72" s="77">
        <v>102.16</v>
      </c>
      <c r="J72" s="84">
        <v>56.97</v>
      </c>
    </row>
    <row r="73" spans="2:10">
      <c r="B73" s="867" t="s">
        <v>164</v>
      </c>
      <c r="C73" s="868"/>
      <c r="D73" s="869"/>
      <c r="E73" s="92" t="s">
        <v>163</v>
      </c>
      <c r="F73" s="77">
        <v>0.36</v>
      </c>
      <c r="G73" s="77">
        <v>1E-3</v>
      </c>
      <c r="H73" s="77">
        <v>0.17</v>
      </c>
      <c r="I73" s="77">
        <v>3.8</v>
      </c>
      <c r="J73" s="84">
        <v>0.75</v>
      </c>
    </row>
    <row r="74" spans="2:10" ht="15" thickBot="1">
      <c r="B74" s="857"/>
      <c r="C74" s="858"/>
      <c r="D74" s="859"/>
      <c r="E74" s="85"/>
      <c r="F74" s="85"/>
      <c r="G74" s="85"/>
      <c r="H74" s="85"/>
      <c r="I74" s="85"/>
      <c r="J74" s="86"/>
    </row>
    <row r="79" spans="2:10" ht="15" thickBot="1"/>
    <row r="80" spans="2:10">
      <c r="B80" s="842" t="s">
        <v>190</v>
      </c>
      <c r="C80" s="860"/>
      <c r="D80" s="860"/>
      <c r="E80" s="860"/>
      <c r="F80" s="860"/>
      <c r="G80" s="860"/>
      <c r="H80" s="843"/>
    </row>
    <row r="81" spans="2:8">
      <c r="B81" s="861" t="s">
        <v>153</v>
      </c>
      <c r="C81" s="862"/>
      <c r="D81" s="862"/>
      <c r="E81" s="864" t="s">
        <v>154</v>
      </c>
      <c r="F81" s="870" t="s">
        <v>191</v>
      </c>
      <c r="G81" s="870" t="s">
        <v>192</v>
      </c>
      <c r="H81" s="87" t="s">
        <v>193</v>
      </c>
    </row>
    <row r="82" spans="2:8">
      <c r="B82" s="846"/>
      <c r="C82" s="855"/>
      <c r="D82" s="855"/>
      <c r="E82" s="865"/>
      <c r="F82" s="871"/>
      <c r="G82" s="871"/>
      <c r="H82" s="96" t="s">
        <v>194</v>
      </c>
    </row>
    <row r="83" spans="2:8">
      <c r="B83" s="848"/>
      <c r="C83" s="863"/>
      <c r="D83" s="863"/>
      <c r="E83" s="866"/>
      <c r="F83" s="82" t="s">
        <v>215</v>
      </c>
      <c r="G83" s="82" t="s">
        <v>215</v>
      </c>
      <c r="H83" s="83" t="s">
        <v>215</v>
      </c>
    </row>
    <row r="84" spans="2:8">
      <c r="B84" s="867" t="s">
        <v>157</v>
      </c>
      <c r="C84" s="868"/>
      <c r="D84" s="869"/>
      <c r="E84" s="92" t="s">
        <v>115</v>
      </c>
      <c r="F84" s="77"/>
      <c r="G84" s="77"/>
      <c r="H84" s="84"/>
    </row>
    <row r="85" spans="2:8" ht="16.2">
      <c r="B85" s="867" t="s">
        <v>158</v>
      </c>
      <c r="C85" s="868"/>
      <c r="D85" s="869"/>
      <c r="E85" s="92" t="s">
        <v>114</v>
      </c>
      <c r="F85" s="77"/>
      <c r="G85" s="77"/>
      <c r="H85" s="84"/>
    </row>
    <row r="86" spans="2:8">
      <c r="B86" s="867" t="s">
        <v>159</v>
      </c>
      <c r="C86" s="868"/>
      <c r="D86" s="869"/>
      <c r="E86" s="92" t="s">
        <v>160</v>
      </c>
      <c r="F86" s="77">
        <v>1.39</v>
      </c>
      <c r="G86" s="77">
        <v>3.19</v>
      </c>
      <c r="H86" s="84">
        <v>0.99</v>
      </c>
    </row>
    <row r="87" spans="2:8">
      <c r="B87" s="867" t="s">
        <v>161</v>
      </c>
      <c r="C87" s="868"/>
      <c r="D87" s="869"/>
      <c r="E87" s="92" t="s">
        <v>115</v>
      </c>
      <c r="F87" s="77">
        <v>0.1</v>
      </c>
      <c r="G87" s="77">
        <v>0.24</v>
      </c>
      <c r="H87" s="84">
        <v>0.08</v>
      </c>
    </row>
    <row r="88" spans="2:8">
      <c r="B88" s="867" t="s">
        <v>162</v>
      </c>
      <c r="C88" s="868"/>
      <c r="D88" s="869"/>
      <c r="E88" s="92" t="s">
        <v>163</v>
      </c>
      <c r="F88" s="77">
        <v>0.71</v>
      </c>
      <c r="G88" s="77">
        <v>2.11</v>
      </c>
      <c r="H88" s="84">
        <v>0.14000000000000001</v>
      </c>
    </row>
    <row r="89" spans="2:8">
      <c r="B89" s="867" t="s">
        <v>164</v>
      </c>
      <c r="C89" s="868"/>
      <c r="D89" s="869"/>
      <c r="E89" s="92" t="s">
        <v>163</v>
      </c>
      <c r="F89" s="77">
        <v>0.03</v>
      </c>
      <c r="G89" s="77">
        <v>0.21</v>
      </c>
      <c r="H89" s="84">
        <v>0.01</v>
      </c>
    </row>
    <row r="90" spans="2:8" ht="15" thickBot="1">
      <c r="B90" s="857"/>
      <c r="C90" s="858"/>
      <c r="D90" s="859"/>
      <c r="E90" s="85"/>
      <c r="F90" s="85"/>
      <c r="G90" s="85"/>
      <c r="H90" s="86"/>
    </row>
    <row r="94" spans="2:8">
      <c r="B94" s="411"/>
      <c r="C94" s="411"/>
      <c r="D94" s="411"/>
      <c r="E94" s="411"/>
      <c r="F94" s="411"/>
      <c r="G94" s="411"/>
      <c r="H94" s="411"/>
    </row>
    <row r="95" spans="2:8">
      <c r="B95" s="854"/>
      <c r="C95" s="854"/>
      <c r="D95" s="854"/>
      <c r="E95" s="854"/>
      <c r="F95" s="854"/>
      <c r="G95" s="854"/>
      <c r="H95" s="854"/>
    </row>
    <row r="96" spans="2:8">
      <c r="B96" s="855"/>
      <c r="C96" s="855"/>
      <c r="D96" s="855"/>
      <c r="E96" s="856"/>
      <c r="F96" s="543"/>
      <c r="G96" s="543"/>
      <c r="H96" s="543"/>
    </row>
    <row r="97" spans="2:8">
      <c r="B97" s="855"/>
      <c r="C97" s="855"/>
      <c r="D97" s="855"/>
      <c r="E97" s="856"/>
      <c r="F97" s="542"/>
      <c r="G97" s="543"/>
      <c r="H97" s="544"/>
    </row>
    <row r="98" spans="2:8">
      <c r="B98" s="855"/>
      <c r="C98" s="855"/>
      <c r="D98" s="855"/>
      <c r="E98" s="856"/>
      <c r="F98" s="543"/>
      <c r="G98" s="543"/>
      <c r="H98" s="543"/>
    </row>
    <row r="99" spans="2:8">
      <c r="B99" s="854"/>
      <c r="C99" s="854"/>
      <c r="D99" s="854"/>
      <c r="E99" s="542"/>
      <c r="F99" s="411"/>
      <c r="G99" s="411"/>
      <c r="H99" s="411"/>
    </row>
    <row r="100" spans="2:8">
      <c r="B100" s="854"/>
      <c r="C100" s="854"/>
      <c r="D100" s="854"/>
      <c r="E100" s="542"/>
      <c r="F100" s="411"/>
      <c r="G100" s="411"/>
      <c r="H100" s="411"/>
    </row>
    <row r="101" spans="2:8">
      <c r="B101" s="854"/>
      <c r="C101" s="854"/>
      <c r="D101" s="854"/>
      <c r="E101" s="542"/>
      <c r="F101" s="411"/>
      <c r="G101" s="411"/>
      <c r="H101" s="411"/>
    </row>
    <row r="102" spans="2:8">
      <c r="B102" s="854"/>
      <c r="C102" s="854"/>
      <c r="D102" s="854"/>
      <c r="E102" s="542"/>
      <c r="F102" s="411"/>
      <c r="G102" s="411"/>
      <c r="H102" s="411"/>
    </row>
    <row r="103" spans="2:8">
      <c r="B103" s="854"/>
      <c r="C103" s="854"/>
      <c r="D103" s="854"/>
      <c r="E103" s="542"/>
      <c r="F103" s="411"/>
      <c r="G103" s="411"/>
      <c r="H103" s="411"/>
    </row>
    <row r="104" spans="2:8">
      <c r="B104" s="854"/>
      <c r="C104" s="854"/>
      <c r="D104" s="854"/>
      <c r="E104" s="542"/>
      <c r="F104" s="411"/>
      <c r="G104" s="411"/>
      <c r="H104" s="411"/>
    </row>
    <row r="105" spans="2:8">
      <c r="B105" s="854"/>
      <c r="C105" s="854"/>
      <c r="D105" s="854"/>
      <c r="E105" s="411"/>
      <c r="F105" s="411"/>
      <c r="G105" s="411"/>
      <c r="H105" s="411"/>
    </row>
  </sheetData>
  <mergeCells count="85">
    <mergeCell ref="B10:D10"/>
    <mergeCell ref="B4:J4"/>
    <mergeCell ref="B5:D6"/>
    <mergeCell ref="B7:D7"/>
    <mergeCell ref="B8:D8"/>
    <mergeCell ref="B9:D9"/>
    <mergeCell ref="B11:D11"/>
    <mergeCell ref="B12:D12"/>
    <mergeCell ref="B13:D13"/>
    <mergeCell ref="B16:L16"/>
    <mergeCell ref="B17:D19"/>
    <mergeCell ref="E17:E19"/>
    <mergeCell ref="E14:J14"/>
    <mergeCell ref="B37:D37"/>
    <mergeCell ref="B20:D20"/>
    <mergeCell ref="B21:D21"/>
    <mergeCell ref="B22:D22"/>
    <mergeCell ref="B23:D23"/>
    <mergeCell ref="B24:D24"/>
    <mergeCell ref="B25:D25"/>
    <mergeCell ref="B26:D26"/>
    <mergeCell ref="B32:G32"/>
    <mergeCell ref="B33:D35"/>
    <mergeCell ref="E33:E35"/>
    <mergeCell ref="B36:D36"/>
    <mergeCell ref="F33:F34"/>
    <mergeCell ref="G33:G34"/>
    <mergeCell ref="E27:L27"/>
    <mergeCell ref="B55:D55"/>
    <mergeCell ref="B38:D38"/>
    <mergeCell ref="B39:D39"/>
    <mergeCell ref="B40:D40"/>
    <mergeCell ref="B41:D41"/>
    <mergeCell ref="B42:D42"/>
    <mergeCell ref="B48:H48"/>
    <mergeCell ref="B49:D51"/>
    <mergeCell ref="E49:E51"/>
    <mergeCell ref="B52:D52"/>
    <mergeCell ref="B53:D53"/>
    <mergeCell ref="B54:D54"/>
    <mergeCell ref="B73:D73"/>
    <mergeCell ref="B56:D56"/>
    <mergeCell ref="B57:D57"/>
    <mergeCell ref="B58:D58"/>
    <mergeCell ref="B64:J64"/>
    <mergeCell ref="B65:D67"/>
    <mergeCell ref="E65:E67"/>
    <mergeCell ref="B68:D68"/>
    <mergeCell ref="B69:D69"/>
    <mergeCell ref="B70:D70"/>
    <mergeCell ref="B71:D71"/>
    <mergeCell ref="B72:D72"/>
    <mergeCell ref="B95:H95"/>
    <mergeCell ref="B74:D74"/>
    <mergeCell ref="B80:H80"/>
    <mergeCell ref="B81:D83"/>
    <mergeCell ref="E81:E83"/>
    <mergeCell ref="B84:D84"/>
    <mergeCell ref="B85:D85"/>
    <mergeCell ref="B86:D86"/>
    <mergeCell ref="B87:D87"/>
    <mergeCell ref="B88:D88"/>
    <mergeCell ref="B89:D89"/>
    <mergeCell ref="B90:D90"/>
    <mergeCell ref="G81:G82"/>
    <mergeCell ref="F81:F82"/>
    <mergeCell ref="B103:D103"/>
    <mergeCell ref="B104:D104"/>
    <mergeCell ref="B105:D105"/>
    <mergeCell ref="B96:D98"/>
    <mergeCell ref="E96:E98"/>
    <mergeCell ref="B99:D99"/>
    <mergeCell ref="B100:D100"/>
    <mergeCell ref="B101:D101"/>
    <mergeCell ref="B102:D102"/>
    <mergeCell ref="I48:J48"/>
    <mergeCell ref="I49:J49"/>
    <mergeCell ref="I50:J51"/>
    <mergeCell ref="I58:J58"/>
    <mergeCell ref="I54:J54"/>
    <mergeCell ref="I52:J52"/>
    <mergeCell ref="I53:J53"/>
    <mergeCell ref="I55:J55"/>
    <mergeCell ref="I56:J56"/>
    <mergeCell ref="I57:J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showGridLines="0" topLeftCell="C1" zoomScaleNormal="100" workbookViewId="0">
      <selection activeCell="F23" sqref="F23"/>
    </sheetView>
  </sheetViews>
  <sheetFormatPr baseColWidth="10" defaultRowHeight="14.4"/>
  <cols>
    <col min="1" max="1" width="24.77734375" customWidth="1"/>
    <col min="2" max="2" width="13.88671875" customWidth="1"/>
    <col min="3" max="3" width="11.88671875" customWidth="1"/>
    <col min="4" max="4" width="9" customWidth="1"/>
    <col min="5" max="5" width="25.44140625" customWidth="1"/>
    <col min="6" max="6" width="20.5546875" customWidth="1"/>
    <col min="7" max="7" width="10" customWidth="1"/>
    <col min="8" max="8" width="8.21875" customWidth="1"/>
    <col min="9" max="9" width="11.21875" customWidth="1"/>
    <col min="10" max="10" width="24.21875" customWidth="1"/>
    <col min="12" max="12" width="7" customWidth="1"/>
    <col min="14" max="14" width="14.33203125" customWidth="1"/>
    <col min="16" max="16" width="18.88671875" customWidth="1"/>
    <col min="20" max="20" width="14.33203125" customWidth="1"/>
  </cols>
  <sheetData>
    <row r="2" spans="1:20" ht="8.4" customHeight="1"/>
    <row r="3" spans="1:20" ht="4.8" customHeight="1"/>
    <row r="4" spans="1:20" ht="6" customHeight="1"/>
    <row r="5" spans="1:20" ht="5.4" customHeight="1"/>
    <row r="6" spans="1:20" ht="5.4" customHeight="1"/>
    <row r="7" spans="1:20" ht="5.4" customHeight="1" thickBot="1"/>
    <row r="8" spans="1:20" ht="18.600000000000001" thickBot="1">
      <c r="B8" s="154" t="s">
        <v>283</v>
      </c>
      <c r="C8" s="374">
        <v>7850</v>
      </c>
      <c r="D8" s="116" t="s">
        <v>109</v>
      </c>
      <c r="F8" s="882" t="s">
        <v>297</v>
      </c>
      <c r="G8" s="883"/>
      <c r="H8" s="883"/>
      <c r="I8" s="883"/>
      <c r="J8" s="883"/>
      <c r="K8" s="883"/>
      <c r="L8" s="884"/>
      <c r="M8" s="109"/>
      <c r="N8" s="109"/>
      <c r="O8" s="109"/>
      <c r="P8" s="882" t="s">
        <v>298</v>
      </c>
      <c r="Q8" s="883"/>
      <c r="R8" s="884"/>
      <c r="S8" s="109"/>
      <c r="T8" s="140"/>
    </row>
    <row r="9" spans="1:20" ht="15" thickBot="1">
      <c r="F9" s="110"/>
      <c r="G9" s="77"/>
      <c r="H9" s="77"/>
      <c r="I9" s="104"/>
      <c r="J9" s="104"/>
      <c r="K9" s="104"/>
      <c r="L9" s="84"/>
      <c r="M9" s="77"/>
      <c r="N9" s="77"/>
      <c r="O9" s="77"/>
      <c r="P9" s="110"/>
      <c r="Q9" s="77"/>
      <c r="R9" s="84"/>
      <c r="S9" s="77"/>
      <c r="T9" s="84"/>
    </row>
    <row r="10" spans="1:20" ht="18.600000000000001" thickBot="1">
      <c r="F10" s="897" t="s">
        <v>284</v>
      </c>
      <c r="G10" s="898"/>
      <c r="H10" s="899"/>
      <c r="I10" s="104"/>
      <c r="J10" s="897" t="s">
        <v>285</v>
      </c>
      <c r="K10" s="898"/>
      <c r="L10" s="899"/>
      <c r="M10" s="77"/>
      <c r="N10" s="77"/>
      <c r="O10" s="77"/>
      <c r="P10" s="2" t="s">
        <v>122</v>
      </c>
      <c r="Q10" s="3">
        <f>Dimensionamiento!N4*Dimensionamiento!C52</f>
        <v>157.07963267948966</v>
      </c>
      <c r="R10" s="4" t="s">
        <v>96</v>
      </c>
      <c r="S10" s="77"/>
      <c r="T10" s="84"/>
    </row>
    <row r="11" spans="1:20" ht="18">
      <c r="A11" s="895" t="str">
        <f>IF(Dimensionamiento!C16&lt;3,"No se cortan las barras, igual en toda la viga debido a las dimensiones","")</f>
        <v/>
      </c>
      <c r="B11" s="895"/>
      <c r="C11" s="895"/>
      <c r="D11" s="895"/>
      <c r="E11" s="896"/>
      <c r="F11" s="158" t="s">
        <v>116</v>
      </c>
      <c r="G11" s="373">
        <f>Dimensionamiento!N3*Dimensionamiento!C51</f>
        <v>1256.6370614359173</v>
      </c>
      <c r="H11" s="156" t="s">
        <v>96</v>
      </c>
      <c r="I11" s="104"/>
      <c r="J11" s="65" t="s">
        <v>117</v>
      </c>
      <c r="K11" s="372">
        <f>IF(Dimensionamiento!C16&gt;=3,0.3*G11,'Disp. Armaduras'!G11)</f>
        <v>376.9911184307752</v>
      </c>
      <c r="L11" s="67" t="s">
        <v>96</v>
      </c>
      <c r="M11" s="77"/>
      <c r="N11" s="77"/>
      <c r="O11" s="77"/>
      <c r="P11" s="2" t="s">
        <v>541</v>
      </c>
      <c r="Q11" s="3">
        <f>Q10/Dimensionamiento!C52</f>
        <v>2</v>
      </c>
      <c r="R11" s="4">
        <f>ROUNDUP(Q11,0)</f>
        <v>2</v>
      </c>
      <c r="S11" s="885" t="str">
        <f>IF(R11&lt;2,"No cumple, mínimo 2 barras","Cumple")</f>
        <v>Cumple</v>
      </c>
      <c r="T11" s="886"/>
    </row>
    <row r="12" spans="1:20" ht="16.2">
      <c r="F12" s="2" t="s">
        <v>113</v>
      </c>
      <c r="G12" s="16">
        <f>Dimensionamiento!N3*(Dimensionamiento!C51/1000000)*0.8*Dimensionamiento!C16</f>
        <v>5.0265482457436698E-3</v>
      </c>
      <c r="H12" s="155" t="s">
        <v>114</v>
      </c>
      <c r="I12" s="104"/>
      <c r="J12" s="2" t="s">
        <v>539</v>
      </c>
      <c r="K12" s="16">
        <f>K11/Dimensionamiento!C51</f>
        <v>1.2</v>
      </c>
      <c r="L12" s="4">
        <f>ROUNDUP(K12,0)</f>
        <v>2</v>
      </c>
      <c r="M12" s="885" t="str">
        <f>IF(L12&lt;2,"No cumple, mínimo 2 barras","Cumple")</f>
        <v>Cumple</v>
      </c>
      <c r="N12" s="903"/>
      <c r="O12" s="77"/>
      <c r="P12" s="2" t="s">
        <v>542</v>
      </c>
      <c r="Q12" s="3">
        <f>IF(R11&lt;2,2,R11)</f>
        <v>2</v>
      </c>
      <c r="R12" s="4"/>
      <c r="S12" s="77"/>
      <c r="T12" s="84"/>
    </row>
    <row r="13" spans="1:20" ht="15" thickBot="1">
      <c r="F13" s="2" t="s">
        <v>118</v>
      </c>
      <c r="G13" s="339">
        <f>G12*C8</f>
        <v>39.458403729087806</v>
      </c>
      <c r="H13" s="149" t="s">
        <v>115</v>
      </c>
      <c r="I13" s="104"/>
      <c r="J13" s="2" t="s">
        <v>540</v>
      </c>
      <c r="K13" s="3">
        <f>IF(L12&lt;2,2,L12)</f>
        <v>2</v>
      </c>
      <c r="L13" s="4"/>
      <c r="M13" s="77"/>
      <c r="N13" s="77"/>
      <c r="O13" s="77"/>
      <c r="P13" s="158" t="s">
        <v>286</v>
      </c>
      <c r="Q13" s="56">
        <f>(2*PI()*(('Disp. Armaduras'!C29/2)/1000)/4)*2*'Disp. Armaduras'!R11+5*(Dimensionamiento!C49/1000)</f>
        <v>0.05</v>
      </c>
      <c r="R13" s="57"/>
      <c r="S13" s="77"/>
      <c r="T13" s="84"/>
    </row>
    <row r="14" spans="1:20" ht="18.600000000000001" thickBot="1">
      <c r="B14" s="409" t="s">
        <v>545</v>
      </c>
      <c r="C14" s="408">
        <f>SUM(G13,K16,Q15,G35,G42)</f>
        <v>77.380403977650019</v>
      </c>
      <c r="D14" s="410" t="s">
        <v>115</v>
      </c>
      <c r="F14" s="110"/>
      <c r="G14" s="77"/>
      <c r="H14" s="77"/>
      <c r="I14" s="104"/>
      <c r="J14" s="158" t="s">
        <v>119</v>
      </c>
      <c r="K14" s="56">
        <f>(2*PI()*((Dimensionamiento!C48/2)/1000)/4)*2*K13+5*(Dimensionamiento!C48/1000)</f>
        <v>0.16283185307179587</v>
      </c>
      <c r="L14" s="160" t="s">
        <v>212</v>
      </c>
      <c r="M14" s="77"/>
      <c r="N14" s="77"/>
      <c r="O14" s="77"/>
      <c r="P14" s="2" t="s">
        <v>123</v>
      </c>
      <c r="Q14" s="3">
        <f>R11*Dosificación!C4*Dimensionamiento!C52/1000000</f>
        <v>7.8539816339744833E-4</v>
      </c>
      <c r="R14" s="4" t="s">
        <v>114</v>
      </c>
      <c r="S14" s="77"/>
      <c r="T14" s="84"/>
    </row>
    <row r="15" spans="1:20" ht="16.8" thickBot="1">
      <c r="F15" s="110"/>
      <c r="G15" s="77"/>
      <c r="H15" s="77"/>
      <c r="I15" s="104"/>
      <c r="J15" s="2" t="s">
        <v>120</v>
      </c>
      <c r="K15" s="3">
        <f>(K14+Dimensionamiento!C16*0.2)*(Dimensionamiento!C51/1000000)*'Disp. Armaduras'!K13</f>
        <v>7.3062880139411186E-4</v>
      </c>
      <c r="L15" s="4" t="s">
        <v>114</v>
      </c>
      <c r="M15" s="77"/>
      <c r="N15" s="77"/>
      <c r="O15" s="77"/>
      <c r="P15" s="2" t="s">
        <v>124</v>
      </c>
      <c r="Q15" s="18">
        <f>Q14*Dosificación!C8</f>
        <v>6.1653755826699692</v>
      </c>
      <c r="R15" s="159" t="s">
        <v>115</v>
      </c>
      <c r="S15" s="77"/>
      <c r="T15" s="84"/>
    </row>
    <row r="16" spans="1:20" ht="18.600000000000001" thickBot="1">
      <c r="A16" s="887" t="s">
        <v>549</v>
      </c>
      <c r="B16" s="888"/>
      <c r="C16" s="888"/>
      <c r="D16" s="889"/>
      <c r="F16" s="141"/>
      <c r="G16" s="85"/>
      <c r="H16" s="85"/>
      <c r="I16" s="117"/>
      <c r="J16" s="17" t="s">
        <v>121</v>
      </c>
      <c r="K16" s="375">
        <f>K15*Dosificación!C8</f>
        <v>5.7354360909437778</v>
      </c>
      <c r="L16" s="376" t="s">
        <v>115</v>
      </c>
      <c r="M16" s="85"/>
      <c r="N16" s="85"/>
      <c r="O16" s="135"/>
      <c r="P16" s="141"/>
      <c r="Q16" s="85"/>
      <c r="R16" s="86"/>
      <c r="S16" s="77"/>
      <c r="T16" s="84"/>
    </row>
    <row r="17" spans="1:21" ht="15" thickBot="1">
      <c r="A17" s="161"/>
      <c r="B17" s="109"/>
      <c r="C17" s="109"/>
      <c r="D17" s="140"/>
      <c r="F17" s="110"/>
      <c r="G17" s="77"/>
      <c r="H17" s="77"/>
      <c r="I17" s="104"/>
      <c r="J17" s="64"/>
      <c r="K17" s="64"/>
      <c r="L17" s="64"/>
      <c r="M17" s="77"/>
      <c r="N17" s="77"/>
      <c r="O17" s="64"/>
      <c r="P17" s="77"/>
      <c r="Q17" s="77"/>
      <c r="R17" s="77"/>
      <c r="S17" s="77"/>
      <c r="T17" s="84"/>
    </row>
    <row r="18" spans="1:21" ht="15" thickBot="1">
      <c r="A18" s="110"/>
      <c r="B18" s="411"/>
      <c r="C18" s="411"/>
      <c r="D18" s="84"/>
      <c r="F18" s="110"/>
      <c r="G18" s="77"/>
      <c r="H18" s="900" t="s">
        <v>287</v>
      </c>
      <c r="I18" s="901"/>
      <c r="J18" s="902"/>
      <c r="K18" s="64"/>
      <c r="L18" s="64"/>
      <c r="M18" s="64"/>
      <c r="N18" s="77"/>
      <c r="O18" s="77"/>
      <c r="P18" s="77"/>
      <c r="Q18" s="77"/>
      <c r="R18" s="77"/>
      <c r="S18" s="77"/>
      <c r="T18" s="84"/>
    </row>
    <row r="19" spans="1:21">
      <c r="A19" s="110"/>
      <c r="B19" s="411"/>
      <c r="C19" s="411"/>
      <c r="D19" s="84"/>
      <c r="F19" s="110"/>
      <c r="G19" s="77"/>
      <c r="H19" s="75"/>
      <c r="I19" s="104"/>
      <c r="J19" s="139"/>
      <c r="K19" s="801"/>
      <c r="L19" s="801"/>
      <c r="M19" s="801"/>
      <c r="N19" s="77"/>
      <c r="O19" s="77"/>
      <c r="P19" s="77"/>
      <c r="Q19" s="77"/>
      <c r="R19" s="77"/>
      <c r="S19" s="77"/>
      <c r="T19" s="84"/>
    </row>
    <row r="20" spans="1:21">
      <c r="A20" s="110"/>
      <c r="B20" s="411"/>
      <c r="C20" s="411"/>
      <c r="D20" s="84"/>
      <c r="F20" s="110"/>
      <c r="G20" s="77"/>
      <c r="H20" s="75"/>
      <c r="I20" s="104"/>
      <c r="J20" s="139"/>
      <c r="K20" s="64"/>
      <c r="L20" s="64"/>
      <c r="M20" s="64"/>
      <c r="N20" s="77"/>
      <c r="O20" s="77"/>
      <c r="P20" s="77"/>
      <c r="Q20" s="77"/>
      <c r="R20" s="77"/>
      <c r="S20" s="77"/>
      <c r="T20" s="84"/>
    </row>
    <row r="21" spans="1:21">
      <c r="A21" s="110"/>
      <c r="B21" s="411"/>
      <c r="C21" s="411"/>
      <c r="D21" s="84"/>
      <c r="F21" s="110"/>
      <c r="G21" s="77"/>
      <c r="H21" s="75"/>
      <c r="I21" s="104"/>
      <c r="J21" s="139"/>
      <c r="K21" s="64"/>
      <c r="L21" s="64"/>
      <c r="M21" s="64"/>
      <c r="N21" s="77"/>
      <c r="O21" s="77"/>
      <c r="P21" s="77"/>
      <c r="Q21" s="77"/>
      <c r="R21" s="77"/>
      <c r="S21" s="77"/>
      <c r="T21" s="84"/>
    </row>
    <row r="22" spans="1:21">
      <c r="A22" s="110"/>
      <c r="B22" s="411"/>
      <c r="C22" s="411"/>
      <c r="D22" s="84"/>
      <c r="F22" s="110"/>
      <c r="G22" s="77"/>
      <c r="H22" s="75"/>
      <c r="I22" s="104"/>
      <c r="J22" s="139"/>
      <c r="K22" s="64"/>
      <c r="L22" s="64"/>
      <c r="M22" s="64"/>
      <c r="N22" s="77"/>
      <c r="O22" s="77"/>
      <c r="P22" s="77"/>
      <c r="Q22" s="77"/>
      <c r="R22" s="77"/>
      <c r="S22" s="77"/>
      <c r="T22" s="84"/>
    </row>
    <row r="23" spans="1:21">
      <c r="A23" s="110"/>
      <c r="B23" s="411"/>
      <c r="C23" s="411"/>
      <c r="D23" s="84"/>
      <c r="F23" s="110"/>
      <c r="G23" s="77"/>
      <c r="H23" s="97"/>
      <c r="I23" s="131"/>
      <c r="J23" s="137"/>
      <c r="K23" s="64"/>
      <c r="L23" s="64"/>
      <c r="M23" s="64"/>
      <c r="N23" s="77"/>
      <c r="O23" s="77"/>
      <c r="P23" s="77"/>
      <c r="Q23" s="77"/>
      <c r="R23" s="77"/>
      <c r="S23" s="77"/>
      <c r="T23" s="84"/>
    </row>
    <row r="24" spans="1:21" ht="15" thickBot="1">
      <c r="A24" s="110"/>
      <c r="B24" s="411"/>
      <c r="C24" s="411"/>
      <c r="D24" s="84"/>
      <c r="F24" s="141"/>
      <c r="G24" s="85"/>
      <c r="H24" s="906" t="s">
        <v>642</v>
      </c>
      <c r="I24" s="906"/>
      <c r="J24" s="906"/>
      <c r="K24" s="135"/>
      <c r="L24" s="135"/>
      <c r="M24" s="135"/>
      <c r="N24" s="85"/>
      <c r="O24" s="85"/>
      <c r="P24" s="85"/>
      <c r="Q24" s="85"/>
      <c r="R24" s="85"/>
      <c r="S24" s="85"/>
      <c r="T24" s="86"/>
    </row>
    <row r="25" spans="1:21">
      <c r="A25" s="134"/>
      <c r="B25" s="64"/>
      <c r="C25" s="64"/>
      <c r="D25" s="93"/>
      <c r="E25" s="287"/>
      <c r="I25" s="104"/>
      <c r="J25" s="64"/>
      <c r="K25" s="64"/>
      <c r="L25" s="157"/>
      <c r="M25" s="157"/>
    </row>
    <row r="26" spans="1:21" ht="15" thickBot="1">
      <c r="A26" s="134"/>
      <c r="B26" s="64"/>
      <c r="C26" s="64"/>
      <c r="D26" s="93"/>
      <c r="I26" s="104"/>
      <c r="J26" s="64"/>
      <c r="K26" s="64"/>
      <c r="L26" s="157"/>
      <c r="M26" s="157"/>
    </row>
    <row r="27" spans="1:21" ht="18.600000000000001" thickBot="1">
      <c r="A27" s="134"/>
      <c r="B27" s="64"/>
      <c r="C27" s="64"/>
      <c r="D27" s="93"/>
      <c r="F27" s="890" t="s">
        <v>601</v>
      </c>
      <c r="G27" s="891"/>
      <c r="H27" s="891"/>
      <c r="I27" s="891"/>
      <c r="J27" s="892"/>
      <c r="K27" s="133"/>
      <c r="L27" s="133"/>
      <c r="M27" s="133"/>
      <c r="N27" s="109"/>
      <c r="O27" s="109"/>
      <c r="P27" s="109"/>
      <c r="Q27" s="109"/>
      <c r="R27" s="109"/>
      <c r="S27" s="109"/>
      <c r="T27" s="109"/>
      <c r="U27" s="140"/>
    </row>
    <row r="28" spans="1:21" ht="22.2" customHeight="1" thickBot="1">
      <c r="A28" s="134"/>
      <c r="B28" s="64"/>
      <c r="C28" s="64"/>
      <c r="D28" s="93"/>
      <c r="F28" s="893" t="str">
        <f>IF(Dimensionamiento!O27&gt;=3,"Armadura necesaria hasta que Vd&lt;Vcu, a partir del cual se dispone la armadura mínima","Se dispone la armadura con separación mínima en toda la viga")</f>
        <v>Se dispone la armadura con separación mínima en toda la viga</v>
      </c>
      <c r="G28" s="894"/>
      <c r="H28" s="894"/>
      <c r="I28" s="894"/>
      <c r="J28" s="894"/>
      <c r="K28" s="64"/>
      <c r="L28" s="64"/>
      <c r="M28" s="64"/>
      <c r="N28" s="411"/>
      <c r="O28" s="411"/>
      <c r="P28" s="411"/>
      <c r="Q28" s="411"/>
      <c r="R28" s="411"/>
      <c r="S28" s="411"/>
      <c r="T28" s="411"/>
      <c r="U28" s="84"/>
    </row>
    <row r="29" spans="1:21" ht="19.8" customHeight="1" thickBot="1">
      <c r="A29" s="134"/>
      <c r="B29" s="64"/>
      <c r="C29" s="64"/>
      <c r="D29" s="93"/>
      <c r="F29" s="897" t="s">
        <v>493</v>
      </c>
      <c r="G29" s="898"/>
      <c r="H29" s="899"/>
      <c r="I29" s="545" t="str">
        <f>IF(H33=0,"No","")</f>
        <v/>
      </c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84"/>
    </row>
    <row r="30" spans="1:21">
      <c r="A30" s="134"/>
      <c r="B30" s="64"/>
      <c r="C30" s="64"/>
      <c r="D30" s="93"/>
      <c r="F30" s="590" t="s">
        <v>281</v>
      </c>
      <c r="G30" s="373">
        <f>(Dimensionamiento!C16/2)-(Dimensionamiento!O23/Dimensionamiento!C14)</f>
        <v>1.6697421298397164</v>
      </c>
      <c r="H30" s="156" t="s">
        <v>6</v>
      </c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84"/>
    </row>
    <row r="31" spans="1:21" ht="15" thickBot="1">
      <c r="A31" s="417"/>
      <c r="B31" s="135"/>
      <c r="C31" s="135"/>
      <c r="D31" s="418"/>
      <c r="F31" s="583" t="s">
        <v>289</v>
      </c>
      <c r="G31" s="16">
        <f>IF(G30&gt;0,Dimensionamiento!C16-2*G30-2*((Dimensionamiento!C17/1000)/2),0)</f>
        <v>1.1105157403205672</v>
      </c>
      <c r="H31" s="155" t="s">
        <v>6</v>
      </c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84"/>
    </row>
    <row r="32" spans="1:21">
      <c r="A32" s="157"/>
      <c r="B32" s="157"/>
      <c r="C32" s="157"/>
      <c r="D32" s="157"/>
      <c r="F32" s="583" t="s">
        <v>290</v>
      </c>
      <c r="G32" s="16">
        <f>IF(Dimensionamiento!O27&lt;2,Dimensionamiento!P39,Dimensionamiento!O46)</f>
        <v>30</v>
      </c>
      <c r="H32" s="155" t="s">
        <v>84</v>
      </c>
      <c r="I32" s="588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84"/>
    </row>
    <row r="33" spans="1:21">
      <c r="A33" s="157"/>
      <c r="B33" s="157"/>
      <c r="C33" s="157"/>
      <c r="D33" s="157"/>
      <c r="F33" s="583" t="s">
        <v>291</v>
      </c>
      <c r="G33" s="16">
        <f>IF(Dimensionamiento!C16&gt;=3,G31/(G32/100),0)</f>
        <v>3.7017191344018907</v>
      </c>
      <c r="H33" s="155">
        <f>ROUNDUP(G33,0)</f>
        <v>4</v>
      </c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84"/>
    </row>
    <row r="34" spans="1:21" ht="16.2">
      <c r="A34" s="157"/>
      <c r="B34" s="157"/>
      <c r="C34" s="157"/>
      <c r="D34" s="157"/>
      <c r="F34" s="583" t="s">
        <v>292</v>
      </c>
      <c r="G34" s="589">
        <f>(Dimensionamiento!C53/1000000)*((2*Dimensionamiento!C17/1000)+(2*Dimensionamiento!C18/1000)+(2*10*Dimensionamiento!C50/1000))*H33</f>
        <v>5.6548667764616273E-4</v>
      </c>
      <c r="H34" s="155" t="s">
        <v>114</v>
      </c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84"/>
    </row>
    <row r="35" spans="1:21">
      <c r="A35" s="157"/>
      <c r="B35" s="157"/>
      <c r="C35" s="157"/>
      <c r="D35" s="157"/>
      <c r="F35" s="2" t="s">
        <v>293</v>
      </c>
      <c r="G35" s="339">
        <f>IF(G31&gt;0,G34*C8,0)</f>
        <v>4.4390704195223778</v>
      </c>
      <c r="H35" s="149" t="s">
        <v>115</v>
      </c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84"/>
    </row>
    <row r="36" spans="1:21" ht="15" thickBot="1">
      <c r="F36" s="110"/>
      <c r="G36" s="411"/>
      <c r="H36" s="411"/>
      <c r="I36" s="411"/>
      <c r="J36" s="411"/>
      <c r="K36" s="411" t="s">
        <v>632</v>
      </c>
      <c r="L36" s="411"/>
      <c r="M36" s="411"/>
      <c r="N36" s="411"/>
      <c r="O36" s="411"/>
      <c r="P36" s="411"/>
      <c r="Q36" s="411"/>
      <c r="R36" s="411"/>
      <c r="S36" s="411"/>
      <c r="T36" s="411"/>
      <c r="U36" s="84"/>
    </row>
    <row r="37" spans="1:21" ht="18.600000000000001" customHeight="1" thickBot="1">
      <c r="F37" s="897" t="s">
        <v>492</v>
      </c>
      <c r="G37" s="898"/>
      <c r="H37" s="899"/>
      <c r="I37" s="411"/>
      <c r="J37" s="411"/>
      <c r="K37" s="411"/>
      <c r="L37" s="411"/>
      <c r="M37" s="411"/>
      <c r="N37" s="411"/>
      <c r="O37" s="904" t="s">
        <v>636</v>
      </c>
      <c r="P37" s="904"/>
      <c r="Q37" s="904"/>
      <c r="R37" s="904"/>
      <c r="S37" s="904"/>
      <c r="T37" s="904"/>
      <c r="U37" s="84"/>
    </row>
    <row r="38" spans="1:21" ht="15" thickBot="1">
      <c r="F38" s="592" t="s">
        <v>125</v>
      </c>
      <c r="G38" s="373">
        <f>IF(Dimensionamiento!O27&lt;2,Dimensionamiento!P40,Dimensionamiento!P47)</f>
        <v>20</v>
      </c>
      <c r="H38" s="156" t="s">
        <v>84</v>
      </c>
      <c r="I38" s="591"/>
      <c r="J38" s="411"/>
      <c r="K38" s="411"/>
      <c r="L38" s="411"/>
      <c r="M38" s="411"/>
      <c r="N38" s="411"/>
      <c r="O38" s="904"/>
      <c r="P38" s="904"/>
      <c r="Q38" s="904"/>
      <c r="R38" s="904"/>
      <c r="S38" s="904"/>
      <c r="T38" s="904"/>
      <c r="U38" s="84"/>
    </row>
    <row r="39" spans="1:21" ht="15" thickBot="1">
      <c r="F39" s="2" t="s">
        <v>295</v>
      </c>
      <c r="G39" s="16">
        <f>IF(Dimensionamiento!C16-'Disp. Armaduras'!G31&gt;Dimensionamiento!C16,Dimensionamiento!C16,Dimensionamiento!C16-'Disp. Armaduras'!G31)</f>
        <v>3.889484259679433</v>
      </c>
      <c r="H39" s="155" t="s">
        <v>6</v>
      </c>
      <c r="I39" s="411"/>
      <c r="J39" s="411"/>
      <c r="K39" s="907" t="s">
        <v>294</v>
      </c>
      <c r="L39" s="908"/>
      <c r="M39" s="909"/>
      <c r="N39" s="411"/>
      <c r="O39" s="904"/>
      <c r="P39" s="904"/>
      <c r="Q39" s="904"/>
      <c r="R39" s="904"/>
      <c r="S39" s="904"/>
      <c r="T39" s="904"/>
      <c r="U39" s="84"/>
    </row>
    <row r="40" spans="1:21">
      <c r="F40" s="2" t="s">
        <v>126</v>
      </c>
      <c r="G40" s="16">
        <f>IF(Dimensionamiento!C16&gt;=3,G39/(G38/100),Dimensionamiento!C16/('Disp. Armaduras'!G38/100))</f>
        <v>19.447421298397163</v>
      </c>
      <c r="H40" s="155">
        <f>ROUNDUP(G40,0)</f>
        <v>20</v>
      </c>
      <c r="I40" s="411"/>
      <c r="J40" s="411"/>
      <c r="K40" s="161"/>
      <c r="L40" s="109"/>
      <c r="M40" s="140"/>
      <c r="N40" s="411"/>
      <c r="O40" s="411"/>
      <c r="P40" s="411"/>
      <c r="Q40" s="411"/>
      <c r="R40" s="411"/>
      <c r="S40" s="411"/>
      <c r="T40" s="411"/>
      <c r="U40" s="84"/>
    </row>
    <row r="41" spans="1:21" ht="16.2">
      <c r="F41" s="2" t="s">
        <v>127</v>
      </c>
      <c r="G41" s="589">
        <f>(Dimensionamiento!C53/1000000)*((2*Dimensionamiento!C18/1000)+(2*Dimensionamiento!C17/1000)+(2*10*Dimensionamiento!C50/1000))*'Disp. Armaduras'!G40</f>
        <v>2.7493144147039592E-3</v>
      </c>
      <c r="H41" s="155" t="s">
        <v>114</v>
      </c>
      <c r="I41" s="411"/>
      <c r="J41" s="411"/>
      <c r="K41" s="110"/>
      <c r="L41" s="411"/>
      <c r="M41" s="84"/>
      <c r="N41" s="411"/>
      <c r="O41" s="411"/>
      <c r="P41" s="411"/>
      <c r="Q41" s="411"/>
      <c r="R41" s="411"/>
      <c r="S41" s="411"/>
      <c r="T41" s="411"/>
      <c r="U41" s="84"/>
    </row>
    <row r="42" spans="1:21">
      <c r="F42" s="2" t="s">
        <v>115</v>
      </c>
      <c r="G42" s="339">
        <f>G41*Dosificación!C8</f>
        <v>21.58211815542608</v>
      </c>
      <c r="H42" s="162" t="s">
        <v>213</v>
      </c>
      <c r="I42" s="411"/>
      <c r="J42" s="411"/>
      <c r="K42" s="110"/>
      <c r="L42" s="411"/>
      <c r="M42" s="84"/>
      <c r="N42" s="411"/>
      <c r="O42" s="411"/>
      <c r="P42" s="411"/>
      <c r="Q42" s="411"/>
      <c r="R42" s="411"/>
      <c r="S42" s="411"/>
      <c r="T42" s="411"/>
      <c r="U42" s="84"/>
    </row>
    <row r="43" spans="1:21">
      <c r="F43" s="110"/>
      <c r="G43" s="411"/>
      <c r="H43" s="411"/>
      <c r="I43" s="411"/>
      <c r="J43" s="411"/>
      <c r="K43" s="110"/>
      <c r="L43" s="411"/>
      <c r="M43" s="84"/>
      <c r="N43" s="411"/>
      <c r="O43" s="411"/>
      <c r="P43" s="411"/>
      <c r="Q43" s="411"/>
      <c r="R43" s="411"/>
      <c r="S43" s="411"/>
      <c r="T43" s="411"/>
      <c r="U43" s="84"/>
    </row>
    <row r="44" spans="1:21">
      <c r="F44" s="110"/>
      <c r="G44" s="411"/>
      <c r="H44" s="411"/>
      <c r="I44" s="411"/>
      <c r="J44" s="411"/>
      <c r="K44" s="110"/>
      <c r="L44" s="411"/>
      <c r="M44" s="84"/>
      <c r="N44" s="411"/>
      <c r="O44" s="411"/>
      <c r="P44" s="411"/>
      <c r="Q44" s="411"/>
      <c r="R44" s="411"/>
      <c r="S44" s="411"/>
      <c r="T44" s="411"/>
      <c r="U44" s="84"/>
    </row>
    <row r="45" spans="1:21">
      <c r="F45" s="110"/>
      <c r="G45" s="411"/>
      <c r="H45" s="411"/>
      <c r="I45" s="411"/>
      <c r="J45" s="411"/>
      <c r="K45" s="110"/>
      <c r="L45" s="411"/>
      <c r="M45" s="84"/>
      <c r="N45" s="411"/>
      <c r="O45" s="411"/>
      <c r="P45" s="411"/>
      <c r="Q45" s="411"/>
      <c r="R45" s="411"/>
      <c r="S45" s="411"/>
      <c r="T45" s="411"/>
      <c r="U45" s="84"/>
    </row>
    <row r="46" spans="1:21" ht="15" thickBot="1">
      <c r="F46" s="110"/>
      <c r="G46" s="411"/>
      <c r="H46" s="411"/>
      <c r="I46" s="411"/>
      <c r="J46" s="411"/>
      <c r="K46" s="141"/>
      <c r="L46" s="85"/>
      <c r="M46" s="86"/>
      <c r="N46" s="411"/>
      <c r="O46" s="411"/>
      <c r="P46" s="411"/>
      <c r="Q46" s="411"/>
      <c r="R46" s="411"/>
      <c r="S46" s="411"/>
      <c r="T46" s="411"/>
      <c r="U46" s="84"/>
    </row>
    <row r="47" spans="1:21">
      <c r="F47" s="110"/>
      <c r="G47" s="411"/>
      <c r="H47" s="411"/>
      <c r="I47" s="411"/>
      <c r="J47" s="411"/>
      <c r="K47" s="905" t="s">
        <v>639</v>
      </c>
      <c r="L47" s="905"/>
      <c r="M47" s="905"/>
      <c r="N47" s="411"/>
      <c r="O47" s="411"/>
      <c r="P47" s="411"/>
      <c r="Q47" s="411"/>
      <c r="R47" s="411"/>
      <c r="S47" s="411"/>
      <c r="T47" s="411"/>
      <c r="U47" s="84"/>
    </row>
    <row r="48" spans="1:21">
      <c r="F48" s="110"/>
      <c r="G48" s="165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84"/>
    </row>
    <row r="49" spans="6:21">
      <c r="F49" s="110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84"/>
    </row>
    <row r="50" spans="6:21">
      <c r="F50" s="110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84"/>
    </row>
    <row r="51" spans="6:21" ht="15" thickBot="1">
      <c r="F51" s="141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</row>
  </sheetData>
  <mergeCells count="18">
    <mergeCell ref="O37:T39"/>
    <mergeCell ref="K47:M47"/>
    <mergeCell ref="H24:J24"/>
    <mergeCell ref="K39:M39"/>
    <mergeCell ref="F29:H29"/>
    <mergeCell ref="F37:H37"/>
    <mergeCell ref="P8:R8"/>
    <mergeCell ref="S11:T11"/>
    <mergeCell ref="A16:D16"/>
    <mergeCell ref="F27:J27"/>
    <mergeCell ref="F28:J28"/>
    <mergeCell ref="A11:E11"/>
    <mergeCell ref="F10:H10"/>
    <mergeCell ref="F8:L8"/>
    <mergeCell ref="J10:L10"/>
    <mergeCell ref="K19:M19"/>
    <mergeCell ref="H18:J18"/>
    <mergeCell ref="M12:N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4"/>
  <sheetViews>
    <sheetView showGridLines="0" topLeftCell="J12" zoomScale="80" zoomScaleNormal="80" workbookViewId="0">
      <selection activeCell="V35" sqref="V35"/>
    </sheetView>
  </sheetViews>
  <sheetFormatPr baseColWidth="10" defaultRowHeight="14.4"/>
  <cols>
    <col min="2" max="2" width="23.33203125" customWidth="1"/>
    <col min="3" max="3" width="9.44140625" customWidth="1"/>
    <col min="4" max="4" width="27.6640625" customWidth="1"/>
    <col min="5" max="5" width="17.21875" customWidth="1"/>
    <col min="6" max="6" width="17.6640625" customWidth="1"/>
    <col min="7" max="7" width="15.77734375" customWidth="1"/>
    <col min="8" max="8" width="13.21875" customWidth="1"/>
    <col min="9" max="9" width="14.88671875" customWidth="1"/>
    <col min="10" max="10" width="18.6640625" customWidth="1"/>
    <col min="11" max="11" width="20.44140625" customWidth="1"/>
    <col min="13" max="13" width="16.21875" customWidth="1"/>
    <col min="14" max="14" width="16.5546875" customWidth="1"/>
    <col min="15" max="15" width="13.109375" customWidth="1"/>
    <col min="16" max="16" width="12.5546875" customWidth="1"/>
    <col min="18" max="18" width="11.5546875" customWidth="1"/>
    <col min="19" max="19" width="19.21875" customWidth="1"/>
  </cols>
  <sheetData>
    <row r="1" spans="2:20" ht="49.8" customHeight="1"/>
    <row r="2" spans="2:20" ht="15" thickBot="1">
      <c r="B2" s="77"/>
      <c r="C2" s="104"/>
      <c r="D2" s="104"/>
      <c r="E2" s="104"/>
      <c r="F2" s="104"/>
      <c r="G2" s="104"/>
      <c r="H2" s="104"/>
      <c r="I2" s="104"/>
      <c r="J2" s="104"/>
      <c r="K2" s="104"/>
      <c r="L2" s="104"/>
      <c r="Q2" s="104"/>
    </row>
    <row r="3" spans="2:20" ht="21.6" thickBot="1">
      <c r="B3" s="910" t="s">
        <v>0</v>
      </c>
      <c r="C3" s="911"/>
      <c r="D3" s="912"/>
      <c r="F3" s="352" t="s">
        <v>347</v>
      </c>
      <c r="G3" s="353" t="str">
        <f>IF(F23&gt;0.9,F24,IF(G23&gt;0.9,G24,IF(H23&gt;0.9,H24,IF(I23&gt;0.9,I24,IF(J23&gt;0.9,J24,IF(K23&gt;0.9,K24,IF(L23&gt;0.9,L24,IF(M23&gt;0.9,M24,IF(N23&gt;0.9,N24,IF(O23&gt;0.9,O24,IF(P23&gt;0.9,P24,IF(Q23&gt;0.9,Q24,IF(R23&gt;0.9,R24,IF(E23&gt;0.9,E24,"Vuelva a elegir dosificación"))))))))))))))</f>
        <v>Dosif. 15</v>
      </c>
      <c r="I3" s="913" t="s">
        <v>348</v>
      </c>
      <c r="J3" s="914"/>
      <c r="K3" s="915"/>
    </row>
    <row r="4" spans="2:20" ht="15" thickBot="1">
      <c r="B4" s="2" t="s">
        <v>1</v>
      </c>
      <c r="C4" s="1">
        <f>Dimensionamiento!C16</f>
        <v>5</v>
      </c>
      <c r="D4" s="10" t="s">
        <v>6</v>
      </c>
      <c r="F4" s="354" t="s">
        <v>341</v>
      </c>
      <c r="G4" s="578">
        <f>IF(F23&gt;0.9,F25,IF(G23&gt;0.9,G25,IF(H23&gt;0.9,H25,IF(I23&gt;0.9,I25,IF(J23&gt;0.9,J25,IF(K23&gt;0.9,K25,IF(L23&gt;0.9,L25,IF(M23&gt;0.9,M25,IF(N23&gt;0.9,N25,IF(O23&gt;0.9,O25,IF(P23&gt;0.9,P25,IF(Q23&gt;0.9,Q25,IF(R23&gt;0.9,R25,IF(E23&gt;0.9,E25,"Vuelva a elegir dosificación"))))))))))))))</f>
        <v>390</v>
      </c>
      <c r="I4" s="916" t="s">
        <v>142</v>
      </c>
      <c r="J4" s="343" t="s">
        <v>133</v>
      </c>
      <c r="K4" s="461">
        <v>1</v>
      </c>
    </row>
    <row r="5" spans="2:20" ht="14.4" customHeight="1" thickBot="1">
      <c r="B5" s="2" t="s">
        <v>2</v>
      </c>
      <c r="C5" s="1">
        <f>Dimensionamiento!C17</f>
        <v>550</v>
      </c>
      <c r="D5" s="10" t="s">
        <v>9</v>
      </c>
      <c r="F5" s="355" t="s">
        <v>342</v>
      </c>
      <c r="G5" s="358">
        <f>IF(F23&gt;0.9,F27,IF(G23&gt;0.9,G27,IF(H23&gt;0.9,H27,IF(I23&gt;0.9,I27,IF(J23&gt;0.9,J27,IF(K23&gt;0.9,K27,IF(L23&gt;0.9,L27,IF(M23&gt;0.9,M27,IF(N23&gt;0.9,N27,IF(O23&gt;0.9,O27,IF(P23&gt;0.9,P27,IF(Q23&gt;0.9,Q27,IF(R23&gt;0.9,R27,IF(E23&gt;0.9,E27,"Vuelva elegir dosificación"))))))))))))))</f>
        <v>710</v>
      </c>
      <c r="I5" s="917"/>
      <c r="J5" s="364" t="s">
        <v>134</v>
      </c>
      <c r="K5" s="461">
        <v>0</v>
      </c>
    </row>
    <row r="6" spans="2:20" ht="15" thickBot="1">
      <c r="B6" s="2" t="s">
        <v>3</v>
      </c>
      <c r="C6" s="1">
        <f>Dimensionamiento!C18</f>
        <v>250</v>
      </c>
      <c r="D6" s="10" t="s">
        <v>9</v>
      </c>
      <c r="F6" s="355" t="s">
        <v>343</v>
      </c>
      <c r="G6" s="358">
        <f>IF(F23&gt;0.9,F28,IF(G23&gt;0.9,G28,IF(H23&gt;0.9,H28,IF(I23&gt;0.9,I28,IF(J23&gt;0.9,J28,IF(K23&gt;0.9,K28,IF(L23&gt;0.9,L28,IF(M23&gt;0.9,M28,IF(N23&gt;0.9,N28,IF(O23&gt;0.9,O28,IF(P23&gt;0.9,P28,IF(Q23&gt;0.9,Q28,IF(R23&gt;0.9,R28,IF(E23&gt;0.9,E28,"Vuelva elegir dosificación"))))))))))))))</f>
        <v>1140</v>
      </c>
      <c r="I6" s="917"/>
      <c r="J6" s="364" t="s">
        <v>135</v>
      </c>
      <c r="K6" s="461">
        <v>0</v>
      </c>
    </row>
    <row r="7" spans="2:20" ht="16.8" thickBot="1">
      <c r="B7" s="2" t="s">
        <v>299</v>
      </c>
      <c r="C7" s="3">
        <f>2400</f>
        <v>2400</v>
      </c>
      <c r="D7" s="10" t="s">
        <v>109</v>
      </c>
      <c r="F7" s="355" t="s">
        <v>344</v>
      </c>
      <c r="G7" s="358">
        <f>IF(F23&gt;0.9,F29,IF(G23&gt;0.9,G29,IF(H23&gt;0.9,H29,IF(I23&gt;0.9,I29,IF(J23&gt;0.9,J29,IF(K23&gt;0.9,K29,IF(L23&gt;0.9,L29,IF(M23&gt;0.9,M29,IF(N23&gt;0.9,N29,IF(O23&gt;0.9,O29,IF(P23&gt;0.9,P29,IF(Q23&gt;0.9,Q29,IF(R23&gt;0.9,R29,IF(E23&gt;0.9,E29,"Vuelva elegir dosificación"))))))))))))))</f>
        <v>158</v>
      </c>
      <c r="I7" s="917"/>
      <c r="J7" s="364" t="s">
        <v>129</v>
      </c>
      <c r="K7" s="461">
        <v>0</v>
      </c>
    </row>
    <row r="8" spans="2:20" ht="16.8" thickBot="1">
      <c r="B8" s="11" t="s">
        <v>110</v>
      </c>
      <c r="C8" s="42">
        <f>7850</f>
        <v>7850</v>
      </c>
      <c r="D8" s="12" t="s">
        <v>109</v>
      </c>
      <c r="F8" s="356" t="s">
        <v>315</v>
      </c>
      <c r="G8" s="359">
        <f>IF(F23&gt;0.9,F30,IF(G23&gt;0.9,G30,IF(H23&gt;0.9,H30,IF(I23&gt;0.9,I30,IF(J23&gt;0.9,J30,IF(K23&gt;0.9,K30,IF(L23&gt;0.9,L30,IF(M23&gt;0.9,M30,IF(N23&gt;0.9,N30,IF(O23&gt;0.9,O30,IF(P23&gt;0.9,P30,IF(Q23&gt;0.9,Q30,IF(R23&gt;0.9,R30,IF(E23&gt;0.9,E30,"Vuelva elegir dosificación"))))))))))))))</f>
        <v>4.8</v>
      </c>
      <c r="I8" s="917"/>
      <c r="J8" s="364" t="s">
        <v>130</v>
      </c>
      <c r="K8" s="461">
        <v>0</v>
      </c>
    </row>
    <row r="9" spans="2:20" ht="16.8" thickBot="1">
      <c r="B9" s="11" t="s">
        <v>217</v>
      </c>
      <c r="C9" s="351">
        <f>(C6/1000)*(C5/1000)*C4-'Disp. Armaduras'!G12-'Disp. Armaduras'!K15-'Disp. Armaduras'!Q14-'Disp. Armaduras'!G41-'Disp. Armaduras'!G34</f>
        <v>0.67764262369711481</v>
      </c>
      <c r="D9" s="12" t="s">
        <v>114</v>
      </c>
      <c r="F9" s="355" t="s">
        <v>345</v>
      </c>
      <c r="G9" s="577">
        <f>IF(F23&gt;0.9,F31,IF(G23&gt;0.9,G31,IF(H23&gt;0.9,H31,IF(I23&gt;0.9,I31,IF(J23&gt;0.9,J31,IF(K23&gt;0.9,K31,IF(L23&gt;0.9,L31,IF(M23&gt;0.9,M31,IF(N23&gt;0.9,N31,IF(O23&gt;0.9,O31,IF(P23&gt;0.9,P31,IF(Q23&gt;0.9,Q31,IF(R23&gt;0.9,R31,IF(E23&gt;0.9,E31,"Vuelva elegir dosificación"))))))))))))))</f>
        <v>0</v>
      </c>
      <c r="I9" s="917"/>
      <c r="J9" s="364" t="s">
        <v>131</v>
      </c>
      <c r="K9" s="461">
        <v>0</v>
      </c>
    </row>
    <row r="10" spans="2:20" ht="16.8" thickBot="1">
      <c r="B10" s="69" t="s">
        <v>413</v>
      </c>
      <c r="C10" s="3">
        <f>C4*(C5/1000)*(C6/1000)</f>
        <v>0.6875</v>
      </c>
      <c r="D10" s="245" t="s">
        <v>114</v>
      </c>
      <c r="E10" s="77"/>
      <c r="F10" s="357" t="s">
        <v>346</v>
      </c>
      <c r="G10" s="579">
        <f>SUM(G4:G9)</f>
        <v>2402.8000000000002</v>
      </c>
      <c r="I10" s="917"/>
      <c r="J10" s="364" t="s">
        <v>132</v>
      </c>
      <c r="K10" s="461">
        <v>0</v>
      </c>
    </row>
    <row r="11" spans="2:20" ht="15" customHeight="1">
      <c r="B11" s="77"/>
      <c r="K11" s="173" t="str">
        <f>IF(SUM(K4:K10)&gt;1,"Utlilice solo un cemento","")</f>
        <v/>
      </c>
    </row>
    <row r="12" spans="2:20" ht="25.8" customHeight="1" thickBot="1"/>
    <row r="13" spans="2:20" ht="16.8" thickBot="1">
      <c r="D13" s="104"/>
      <c r="E13" s="920" t="s">
        <v>216</v>
      </c>
      <c r="F13" s="921"/>
      <c r="G13" s="922"/>
      <c r="H13" s="77"/>
      <c r="L13" s="104"/>
    </row>
    <row r="14" spans="2:20" ht="15" thickBot="1">
      <c r="D14" s="104"/>
      <c r="E14" s="916" t="s">
        <v>142</v>
      </c>
      <c r="F14" s="360" t="s">
        <v>133</v>
      </c>
      <c r="G14" s="362">
        <f>IF(K4&gt;0.9,$G$4,0)</f>
        <v>390</v>
      </c>
      <c r="H14" s="104"/>
      <c r="L14" s="104"/>
      <c r="S14" s="666" t="s">
        <v>618</v>
      </c>
      <c r="T14" s="667">
        <f>Fisuración!T4</f>
        <v>0.71450435587292582</v>
      </c>
    </row>
    <row r="15" spans="2:20" ht="14.4" customHeight="1" thickBot="1">
      <c r="D15" s="104"/>
      <c r="E15" s="917"/>
      <c r="F15" s="361" t="s">
        <v>134</v>
      </c>
      <c r="G15" s="362">
        <f t="shared" ref="G15:G20" si="0">IF(K5&gt;0.9,$G$4,0)</f>
        <v>0</v>
      </c>
      <c r="H15" s="104"/>
      <c r="L15" s="104"/>
      <c r="S15" s="668" t="s">
        <v>619</v>
      </c>
      <c r="T15" s="669">
        <f>Fisuración!T5</f>
        <v>0.93524440910753737</v>
      </c>
    </row>
    <row r="16" spans="2:20" ht="16.8" thickBot="1">
      <c r="D16" s="104"/>
      <c r="E16" s="917"/>
      <c r="F16" s="361" t="s">
        <v>135</v>
      </c>
      <c r="G16" s="362">
        <f t="shared" si="0"/>
        <v>0</v>
      </c>
      <c r="H16" s="104"/>
      <c r="I16" s="920" t="s">
        <v>218</v>
      </c>
      <c r="J16" s="921"/>
      <c r="K16" s="922"/>
      <c r="L16" s="77"/>
      <c r="M16" s="920" t="s">
        <v>219</v>
      </c>
      <c r="N16" s="922"/>
      <c r="S16" s="670" t="s">
        <v>620</v>
      </c>
      <c r="T16" s="671">
        <f>Fisuración!T6</f>
        <v>0.78570552213208578</v>
      </c>
    </row>
    <row r="17" spans="3:20" ht="14.4" customHeight="1">
      <c r="D17" s="104"/>
      <c r="E17" s="917"/>
      <c r="F17" s="361" t="s">
        <v>129</v>
      </c>
      <c r="G17" s="362">
        <f t="shared" si="0"/>
        <v>0</v>
      </c>
      <c r="H17" s="104"/>
      <c r="I17" s="927" t="s">
        <v>200</v>
      </c>
      <c r="J17" s="360" t="s">
        <v>198</v>
      </c>
      <c r="K17" s="362">
        <f>G6</f>
        <v>1140</v>
      </c>
      <c r="L17" s="104"/>
      <c r="M17" s="360" t="s">
        <v>141</v>
      </c>
      <c r="N17" s="362">
        <f>G7</f>
        <v>158</v>
      </c>
      <c r="S17" s="670" t="s">
        <v>621</v>
      </c>
      <c r="T17" s="671">
        <f>Fisuración!T7</f>
        <v>0.42375256212200973</v>
      </c>
    </row>
    <row r="18" spans="3:20" ht="14.4" customHeight="1">
      <c r="D18" s="104"/>
      <c r="E18" s="917"/>
      <c r="F18" s="361" t="s">
        <v>130</v>
      </c>
      <c r="G18" s="362">
        <f t="shared" si="0"/>
        <v>0</v>
      </c>
      <c r="H18" s="104"/>
      <c r="I18" s="928"/>
      <c r="J18" s="361" t="s">
        <v>199</v>
      </c>
      <c r="K18" s="363">
        <f>G5</f>
        <v>710</v>
      </c>
      <c r="L18" s="104"/>
      <c r="M18" s="361" t="s">
        <v>205</v>
      </c>
      <c r="N18" s="363">
        <f>G8</f>
        <v>4.8</v>
      </c>
      <c r="S18" s="742" t="str">
        <f>Fisuración!S8</f>
        <v>Cumple requisitos</v>
      </c>
      <c r="T18" s="742"/>
    </row>
    <row r="19" spans="3:20">
      <c r="D19" s="104"/>
      <c r="E19" s="917"/>
      <c r="F19" s="361" t="s">
        <v>131</v>
      </c>
      <c r="G19" s="362">
        <f t="shared" si="0"/>
        <v>0</v>
      </c>
      <c r="H19" s="104"/>
      <c r="I19" s="916"/>
      <c r="J19" s="361" t="s">
        <v>197</v>
      </c>
      <c r="K19" s="478">
        <f>G9</f>
        <v>0</v>
      </c>
      <c r="L19" s="104"/>
      <c r="M19" s="104"/>
      <c r="N19" s="104"/>
    </row>
    <row r="20" spans="3:20">
      <c r="D20" s="77"/>
      <c r="E20" s="917"/>
      <c r="F20" s="361" t="s">
        <v>132</v>
      </c>
      <c r="G20" s="362">
        <f t="shared" si="0"/>
        <v>0</v>
      </c>
      <c r="H20" s="104"/>
      <c r="I20" s="104"/>
      <c r="J20" s="104"/>
      <c r="K20" s="104"/>
      <c r="L20" s="104"/>
      <c r="M20" s="104"/>
      <c r="N20" s="104"/>
    </row>
    <row r="21" spans="3:20">
      <c r="J21" s="361" t="s">
        <v>469</v>
      </c>
      <c r="K21" s="363">
        <f>K17+K18</f>
        <v>1850</v>
      </c>
    </row>
    <row r="22" spans="3:20" ht="15" thickBot="1">
      <c r="E22" s="923" t="str">
        <f>IF(SUM(E23:R23)=1,"","Elegir una sola dosificación")</f>
        <v/>
      </c>
      <c r="F22" s="923"/>
      <c r="G22" s="923"/>
      <c r="H22" s="923"/>
    </row>
    <row r="23" spans="3:20" ht="16.2" customHeight="1" thickBot="1">
      <c r="C23" s="918" t="s">
        <v>340</v>
      </c>
      <c r="D23" s="919"/>
      <c r="E23" s="458">
        <v>0</v>
      </c>
      <c r="F23" s="459">
        <v>0</v>
      </c>
      <c r="G23" s="459">
        <v>0</v>
      </c>
      <c r="H23" s="459">
        <v>1</v>
      </c>
      <c r="I23" s="459">
        <v>0</v>
      </c>
      <c r="J23" s="459">
        <v>0</v>
      </c>
      <c r="K23" s="459">
        <v>0</v>
      </c>
      <c r="L23" s="459">
        <v>0</v>
      </c>
      <c r="M23" s="459">
        <v>0</v>
      </c>
      <c r="N23" s="459">
        <v>0</v>
      </c>
      <c r="O23" s="459">
        <v>0</v>
      </c>
      <c r="P23" s="459">
        <v>0</v>
      </c>
      <c r="Q23" s="460">
        <v>0</v>
      </c>
      <c r="R23" s="460">
        <v>0</v>
      </c>
    </row>
    <row r="24" spans="3:20" ht="13.8" customHeight="1" thickBot="1">
      <c r="C24" s="175"/>
      <c r="D24" s="176"/>
      <c r="E24" s="338" t="s">
        <v>543</v>
      </c>
      <c r="F24" s="188" t="s">
        <v>300</v>
      </c>
      <c r="G24" s="188" t="s">
        <v>301</v>
      </c>
      <c r="H24" s="188" t="s">
        <v>302</v>
      </c>
      <c r="I24" s="188" t="s">
        <v>303</v>
      </c>
      <c r="J24" s="188" t="s">
        <v>304</v>
      </c>
      <c r="K24" s="188" t="s">
        <v>305</v>
      </c>
      <c r="L24" s="188" t="s">
        <v>306</v>
      </c>
      <c r="M24" s="188" t="s">
        <v>307</v>
      </c>
      <c r="N24" s="188" t="s">
        <v>308</v>
      </c>
      <c r="O24" s="188" t="s">
        <v>309</v>
      </c>
      <c r="P24" s="188" t="s">
        <v>310</v>
      </c>
      <c r="Q24" s="200" t="s">
        <v>349</v>
      </c>
      <c r="R24" s="188" t="s">
        <v>351</v>
      </c>
    </row>
    <row r="25" spans="3:20" ht="16.2" customHeight="1">
      <c r="C25" s="924" t="s">
        <v>311</v>
      </c>
      <c r="D25" s="380" t="s">
        <v>312</v>
      </c>
      <c r="E25" s="71"/>
      <c r="F25" s="383">
        <v>400</v>
      </c>
      <c r="G25" s="177">
        <v>405</v>
      </c>
      <c r="H25" s="177">
        <v>390</v>
      </c>
      <c r="I25" s="177">
        <v>405</v>
      </c>
      <c r="J25" s="177">
        <v>340</v>
      </c>
      <c r="K25" s="177">
        <v>380</v>
      </c>
      <c r="L25" s="177">
        <v>320</v>
      </c>
      <c r="M25" s="177">
        <v>350</v>
      </c>
      <c r="N25" s="177">
        <v>360</v>
      </c>
      <c r="O25" s="177">
        <v>400</v>
      </c>
      <c r="P25" s="177">
        <v>370</v>
      </c>
      <c r="Q25" s="201">
        <v>447.76119402985074</v>
      </c>
      <c r="R25" s="205">
        <v>447</v>
      </c>
    </row>
    <row r="26" spans="3:20">
      <c r="C26" s="925"/>
      <c r="D26" s="380" t="s">
        <v>313</v>
      </c>
      <c r="E26" s="207">
        <f>SUM(E27:E28)</f>
        <v>0</v>
      </c>
      <c r="F26" s="384">
        <v>1825</v>
      </c>
      <c r="G26" s="178">
        <v>1830</v>
      </c>
      <c r="H26" s="178">
        <v>1850</v>
      </c>
      <c r="I26" s="178">
        <v>1835</v>
      </c>
      <c r="J26" s="178">
        <v>1880</v>
      </c>
      <c r="K26" s="178">
        <v>1850</v>
      </c>
      <c r="L26" s="178">
        <v>1890</v>
      </c>
      <c r="M26" s="178">
        <v>1870</v>
      </c>
      <c r="N26" s="178">
        <v>1870</v>
      </c>
      <c r="O26" s="178">
        <v>1830</v>
      </c>
      <c r="P26" s="178">
        <v>1860</v>
      </c>
      <c r="Q26" s="201">
        <v>1791.044776119403</v>
      </c>
      <c r="R26" s="198">
        <v>1775</v>
      </c>
    </row>
    <row r="27" spans="3:20" ht="16.2" customHeight="1">
      <c r="C27" s="925"/>
      <c r="D27" s="381" t="s">
        <v>338</v>
      </c>
      <c r="E27" s="70"/>
      <c r="F27" s="384">
        <v>970</v>
      </c>
      <c r="G27" s="178">
        <v>700</v>
      </c>
      <c r="H27" s="178">
        <v>710</v>
      </c>
      <c r="I27" s="178">
        <v>710</v>
      </c>
      <c r="J27" s="178">
        <v>620</v>
      </c>
      <c r="K27" s="178">
        <v>620</v>
      </c>
      <c r="L27" s="178">
        <v>830</v>
      </c>
      <c r="M27" s="178">
        <v>940</v>
      </c>
      <c r="N27" s="178">
        <v>650</v>
      </c>
      <c r="O27" s="178">
        <v>740</v>
      </c>
      <c r="P27" s="178">
        <v>790</v>
      </c>
      <c r="Q27" s="201">
        <v>1071</v>
      </c>
      <c r="R27" s="198">
        <v>1125</v>
      </c>
    </row>
    <row r="28" spans="3:20">
      <c r="C28" s="925"/>
      <c r="D28" s="381" t="s">
        <v>339</v>
      </c>
      <c r="E28" s="70"/>
      <c r="F28" s="384">
        <v>855</v>
      </c>
      <c r="G28" s="178">
        <v>1130</v>
      </c>
      <c r="H28" s="178">
        <v>1140</v>
      </c>
      <c r="I28" s="178">
        <v>1125</v>
      </c>
      <c r="J28" s="178">
        <v>1260</v>
      </c>
      <c r="K28" s="178">
        <v>1230</v>
      </c>
      <c r="L28" s="178">
        <v>1060</v>
      </c>
      <c r="M28" s="178">
        <v>930</v>
      </c>
      <c r="N28" s="178">
        <v>1220</v>
      </c>
      <c r="O28" s="178">
        <v>1090</v>
      </c>
      <c r="P28" s="178">
        <v>1070</v>
      </c>
      <c r="Q28" s="190">
        <v>720</v>
      </c>
      <c r="R28" s="198">
        <v>650</v>
      </c>
    </row>
    <row r="29" spans="3:20">
      <c r="C29" s="925"/>
      <c r="D29" s="380" t="s">
        <v>314</v>
      </c>
      <c r="E29" s="70"/>
      <c r="F29" s="384">
        <v>140</v>
      </c>
      <c r="G29" s="178">
        <v>149</v>
      </c>
      <c r="H29" s="178">
        <v>158</v>
      </c>
      <c r="I29" s="178">
        <v>158</v>
      </c>
      <c r="J29" s="178">
        <v>150</v>
      </c>
      <c r="K29" s="178">
        <v>160</v>
      </c>
      <c r="L29" s="178">
        <v>154</v>
      </c>
      <c r="M29" s="178">
        <v>148</v>
      </c>
      <c r="N29" s="178">
        <v>152</v>
      </c>
      <c r="O29" s="178">
        <v>152</v>
      </c>
      <c r="P29" s="178">
        <v>156</v>
      </c>
      <c r="Q29" s="201">
        <v>125</v>
      </c>
      <c r="R29" s="198">
        <v>134.4</v>
      </c>
    </row>
    <row r="30" spans="3:20" ht="14.4" customHeight="1">
      <c r="C30" s="925"/>
      <c r="D30" s="380" t="s">
        <v>315</v>
      </c>
      <c r="E30" s="70"/>
      <c r="F30" s="385">
        <v>3.5</v>
      </c>
      <c r="G30" s="179">
        <v>5</v>
      </c>
      <c r="H30" s="179">
        <v>4.8</v>
      </c>
      <c r="I30" s="179">
        <v>5.2</v>
      </c>
      <c r="J30" s="179">
        <v>3.6</v>
      </c>
      <c r="K30" s="179">
        <v>4.0999999999999996</v>
      </c>
      <c r="L30" s="179">
        <v>2.5</v>
      </c>
      <c r="M30" s="179">
        <v>4.2</v>
      </c>
      <c r="N30" s="179">
        <v>4.2</v>
      </c>
      <c r="O30" s="179">
        <v>5</v>
      </c>
      <c r="P30" s="179">
        <v>4.8</v>
      </c>
      <c r="Q30" s="201">
        <v>5</v>
      </c>
      <c r="R30" s="198">
        <v>4.8</v>
      </c>
    </row>
    <row r="31" spans="3:20">
      <c r="C31" s="925"/>
      <c r="D31" s="380" t="s">
        <v>544</v>
      </c>
      <c r="E31" s="70"/>
      <c r="F31" s="384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201">
        <v>35.820895522388057</v>
      </c>
      <c r="R31" s="198">
        <v>38.4</v>
      </c>
    </row>
    <row r="32" spans="3:20" ht="15" thickBot="1">
      <c r="C32" s="926"/>
      <c r="D32" s="382" t="s">
        <v>316</v>
      </c>
      <c r="E32" s="208">
        <f>SUM(E25,E27,E28,E29,E30,E31)</f>
        <v>0</v>
      </c>
      <c r="F32" s="386">
        <v>2368.5</v>
      </c>
      <c r="G32" s="180">
        <v>2389</v>
      </c>
      <c r="H32" s="180">
        <v>2402.8000000000002</v>
      </c>
      <c r="I32" s="180">
        <v>2403.1999999999998</v>
      </c>
      <c r="J32" s="180">
        <v>2373.6</v>
      </c>
      <c r="K32" s="180">
        <v>2394.1</v>
      </c>
      <c r="L32" s="180">
        <v>2366.5</v>
      </c>
      <c r="M32" s="180">
        <v>2372.1999999999998</v>
      </c>
      <c r="N32" s="180">
        <v>2386.1999999999998</v>
      </c>
      <c r="O32" s="180">
        <v>2387</v>
      </c>
      <c r="P32" s="180">
        <v>2390.8000000000002</v>
      </c>
      <c r="Q32" s="196">
        <v>2400</v>
      </c>
      <c r="R32" s="206">
        <f>SUM(R25,R27,R28,R29,R30,R31)</f>
        <v>2399.6000000000004</v>
      </c>
    </row>
    <row r="33" spans="3:31" ht="18" customHeight="1" thickBot="1">
      <c r="C33" s="181" t="s">
        <v>317</v>
      </c>
      <c r="D33" s="387"/>
      <c r="E33" s="397"/>
      <c r="F33" s="390" t="s">
        <v>318</v>
      </c>
      <c r="G33" s="182" t="s">
        <v>318</v>
      </c>
      <c r="H33" s="182" t="s">
        <v>318</v>
      </c>
      <c r="I33" s="182" t="s">
        <v>318</v>
      </c>
      <c r="J33" s="182" t="s">
        <v>318</v>
      </c>
      <c r="K33" s="182" t="s">
        <v>318</v>
      </c>
      <c r="L33" s="182" t="s">
        <v>318</v>
      </c>
      <c r="M33" s="182" t="s">
        <v>319</v>
      </c>
      <c r="N33" s="182" t="s">
        <v>319</v>
      </c>
      <c r="O33" s="182" t="s">
        <v>319</v>
      </c>
      <c r="P33" s="182" t="s">
        <v>319</v>
      </c>
      <c r="Q33" s="202" t="s">
        <v>319</v>
      </c>
      <c r="R33" s="203" t="s">
        <v>352</v>
      </c>
    </row>
    <row r="34" spans="3:31" ht="16.8" customHeight="1" thickBot="1">
      <c r="C34" s="181" t="s">
        <v>320</v>
      </c>
      <c r="D34" s="387"/>
      <c r="E34" s="397"/>
      <c r="F34" s="391">
        <v>0.98687499999999995</v>
      </c>
      <c r="G34" s="183">
        <v>0.99541666666666662</v>
      </c>
      <c r="H34" s="183">
        <v>1.0011666666666668</v>
      </c>
      <c r="I34" s="183">
        <v>1.0013333333333332</v>
      </c>
      <c r="J34" s="183">
        <v>0.98899999999999999</v>
      </c>
      <c r="K34" s="183">
        <v>0.99754166666666666</v>
      </c>
      <c r="L34" s="183">
        <v>0.98604166666666671</v>
      </c>
      <c r="M34" s="183">
        <v>0.98841666666666661</v>
      </c>
      <c r="N34" s="183">
        <v>0.99424999999999997</v>
      </c>
      <c r="O34" s="183">
        <v>0.99458333333333337</v>
      </c>
      <c r="P34" s="183">
        <v>0.99616666666666676</v>
      </c>
      <c r="Q34" s="191">
        <v>1</v>
      </c>
      <c r="R34" s="198">
        <v>1</v>
      </c>
    </row>
    <row r="35" spans="3:31" ht="18" customHeight="1">
      <c r="C35" s="924" t="s">
        <v>321</v>
      </c>
      <c r="D35" s="388" t="s">
        <v>322</v>
      </c>
      <c r="E35" s="398" t="e">
        <f>E29/E25</f>
        <v>#DIV/0!</v>
      </c>
      <c r="F35" s="392">
        <v>0.35</v>
      </c>
      <c r="G35" s="184">
        <v>0.36790123456790125</v>
      </c>
      <c r="H35" s="184">
        <v>0.40512820512820513</v>
      </c>
      <c r="I35" s="184">
        <v>0.39012345679012345</v>
      </c>
      <c r="J35" s="184">
        <v>0.44117647058823528</v>
      </c>
      <c r="K35" s="184">
        <v>0.42105263157894735</v>
      </c>
      <c r="L35" s="184">
        <v>0.48125000000000001</v>
      </c>
      <c r="M35" s="184">
        <v>0.42285714285714288</v>
      </c>
      <c r="N35" s="184">
        <v>0.42222222222222222</v>
      </c>
      <c r="O35" s="184">
        <v>0.38</v>
      </c>
      <c r="P35" s="184">
        <v>0.42162162162162165</v>
      </c>
      <c r="Q35" s="192">
        <v>0.27999999999999997</v>
      </c>
      <c r="R35" s="198">
        <v>0.28000000000000003</v>
      </c>
    </row>
    <row r="36" spans="3:31">
      <c r="C36" s="925"/>
      <c r="D36" s="388" t="s">
        <v>323</v>
      </c>
      <c r="E36" s="207" t="e">
        <f>E26/E32</f>
        <v>#DIV/0!</v>
      </c>
      <c r="F36" s="392">
        <v>0.77052987122651462</v>
      </c>
      <c r="G36" s="184">
        <v>0.76601088321473421</v>
      </c>
      <c r="H36" s="184">
        <v>0.76993507574496411</v>
      </c>
      <c r="I36" s="184">
        <v>0.76356524633821576</v>
      </c>
      <c r="J36" s="184">
        <v>0.79204583754634317</v>
      </c>
      <c r="K36" s="184">
        <v>0.7727329685476797</v>
      </c>
      <c r="L36" s="184">
        <v>0.79864779209803505</v>
      </c>
      <c r="M36" s="184">
        <v>0.78829778264901784</v>
      </c>
      <c r="N36" s="184">
        <v>0.78367278518146011</v>
      </c>
      <c r="O36" s="184">
        <v>0.76665270213657311</v>
      </c>
      <c r="P36" s="184">
        <v>0.77798226535051018</v>
      </c>
      <c r="Q36" s="192">
        <v>0.74626865671641796</v>
      </c>
      <c r="R36" s="207"/>
    </row>
    <row r="37" spans="3:31">
      <c r="C37" s="925"/>
      <c r="D37" s="380" t="s">
        <v>324</v>
      </c>
      <c r="E37" s="207" t="e">
        <f>E28/E26</f>
        <v>#DIV/0!</v>
      </c>
      <c r="F37" s="393">
        <v>0.46849315068493153</v>
      </c>
      <c r="G37" s="185">
        <v>0.61748633879781423</v>
      </c>
      <c r="H37" s="185">
        <v>0.61621621621621625</v>
      </c>
      <c r="I37" s="185">
        <v>0.61307901907356943</v>
      </c>
      <c r="J37" s="185">
        <v>0.67021276595744683</v>
      </c>
      <c r="K37" s="185">
        <v>0.66486486486486485</v>
      </c>
      <c r="L37" s="185">
        <v>0.56084656084656082</v>
      </c>
      <c r="M37" s="185">
        <v>0.49732620320855614</v>
      </c>
      <c r="N37" s="185">
        <v>0.65240641711229952</v>
      </c>
      <c r="O37" s="185">
        <v>0.59562841530054644</v>
      </c>
      <c r="P37" s="185">
        <v>0.57526881720430112</v>
      </c>
      <c r="Q37" s="193">
        <v>0.31</v>
      </c>
      <c r="R37" s="199">
        <v>0.31</v>
      </c>
    </row>
    <row r="38" spans="3:31">
      <c r="C38" s="925"/>
      <c r="D38" s="380" t="s">
        <v>325</v>
      </c>
      <c r="E38" s="207"/>
      <c r="F38" s="393">
        <v>1.425</v>
      </c>
      <c r="G38" s="185">
        <v>1.3333333333333333</v>
      </c>
      <c r="H38" s="185">
        <v>1.3666666666666667</v>
      </c>
      <c r="I38" s="185"/>
      <c r="J38" s="185"/>
      <c r="K38" s="185"/>
      <c r="L38" s="185">
        <v>0.45614035087719296</v>
      </c>
      <c r="M38" s="185">
        <v>1.4736842105263157</v>
      </c>
      <c r="N38" s="185"/>
      <c r="O38" s="185"/>
      <c r="P38" s="185">
        <v>1.6333333333333333</v>
      </c>
      <c r="Q38" s="193">
        <v>2.5309168443496803</v>
      </c>
      <c r="R38" s="207"/>
      <c r="X38" s="104"/>
      <c r="Y38" s="104"/>
      <c r="Z38" s="104"/>
      <c r="AA38" s="104"/>
      <c r="AB38" s="104"/>
      <c r="AC38" s="104"/>
      <c r="AD38" s="104"/>
      <c r="AE38" s="104"/>
    </row>
    <row r="39" spans="3:31">
      <c r="C39" s="925"/>
      <c r="D39" s="380" t="s">
        <v>326</v>
      </c>
      <c r="E39" s="207"/>
      <c r="F39" s="393">
        <v>0.31232876712328766</v>
      </c>
      <c r="G39" s="185">
        <v>0.21857923497267759</v>
      </c>
      <c r="H39" s="185">
        <v>0.22162162162162163</v>
      </c>
      <c r="I39" s="185">
        <v>0.38692098092643051</v>
      </c>
      <c r="J39" s="185">
        <v>0.32978723404255317</v>
      </c>
      <c r="K39" s="185">
        <v>0.33513513513513515</v>
      </c>
      <c r="L39" s="185">
        <v>0.13756613756613756</v>
      </c>
      <c r="M39" s="185">
        <v>0.29946524064171121</v>
      </c>
      <c r="N39" s="185">
        <v>0.34759358288770054</v>
      </c>
      <c r="O39" s="185">
        <v>0.40437158469945356</v>
      </c>
      <c r="P39" s="185">
        <v>0.26344086021505375</v>
      </c>
      <c r="Q39" s="194"/>
      <c r="R39" s="199">
        <v>2.84</v>
      </c>
    </row>
    <row r="40" spans="3:31">
      <c r="C40" s="925"/>
      <c r="D40" s="389" t="s">
        <v>327</v>
      </c>
      <c r="E40" s="207" t="e">
        <f>E31/E25</f>
        <v>#DIV/0!</v>
      </c>
      <c r="F40" s="394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195">
        <v>7.9999999999999988E-2</v>
      </c>
      <c r="R40" s="207"/>
    </row>
    <row r="41" spans="3:31" ht="16.8" thickBot="1">
      <c r="C41" s="926"/>
      <c r="D41" s="382" t="s">
        <v>328</v>
      </c>
      <c r="E41" s="208">
        <f>E25</f>
        <v>0</v>
      </c>
      <c r="F41" s="386">
        <v>400</v>
      </c>
      <c r="G41" s="180">
        <v>405</v>
      </c>
      <c r="H41" s="180">
        <v>390</v>
      </c>
      <c r="I41" s="180">
        <v>405</v>
      </c>
      <c r="J41" s="180">
        <v>340</v>
      </c>
      <c r="K41" s="180">
        <v>380</v>
      </c>
      <c r="L41" s="180">
        <v>320</v>
      </c>
      <c r="M41" s="180">
        <v>350</v>
      </c>
      <c r="N41" s="180">
        <v>360</v>
      </c>
      <c r="O41" s="180">
        <v>400</v>
      </c>
      <c r="P41" s="180">
        <v>370</v>
      </c>
      <c r="Q41" s="196">
        <v>447.76119402985074</v>
      </c>
      <c r="R41" s="208"/>
    </row>
    <row r="42" spans="3:31" ht="15" thickBot="1">
      <c r="C42" s="181" t="s">
        <v>329</v>
      </c>
      <c r="D42" s="387"/>
      <c r="E42" s="397"/>
      <c r="F42" s="395">
        <v>80</v>
      </c>
      <c r="G42" s="187">
        <v>80</v>
      </c>
      <c r="H42" s="187">
        <v>80</v>
      </c>
      <c r="I42" s="187">
        <v>80</v>
      </c>
      <c r="J42" s="187">
        <v>80</v>
      </c>
      <c r="K42" s="187">
        <v>80</v>
      </c>
      <c r="L42" s="187">
        <v>95</v>
      </c>
      <c r="M42" s="187">
        <v>90</v>
      </c>
      <c r="N42" s="187">
        <v>90</v>
      </c>
      <c r="O42" s="187">
        <v>90</v>
      </c>
      <c r="P42" s="187">
        <v>90</v>
      </c>
      <c r="Q42" s="197"/>
      <c r="R42" s="189"/>
    </row>
    <row r="43" spans="3:31" ht="18" customHeight="1" thickBot="1">
      <c r="C43" s="181" t="s">
        <v>330</v>
      </c>
      <c r="D43" s="387"/>
      <c r="E43" s="71"/>
      <c r="F43" s="396" t="s">
        <v>331</v>
      </c>
      <c r="G43" s="204" t="s">
        <v>332</v>
      </c>
      <c r="H43" s="204" t="s">
        <v>333</v>
      </c>
      <c r="I43" s="204" t="s">
        <v>332</v>
      </c>
      <c r="J43" s="204" t="s">
        <v>334</v>
      </c>
      <c r="K43" s="204" t="s">
        <v>335</v>
      </c>
      <c r="L43" s="204" t="s">
        <v>335</v>
      </c>
      <c r="M43" s="204" t="s">
        <v>336</v>
      </c>
      <c r="N43" s="204" t="s">
        <v>336</v>
      </c>
      <c r="O43" s="204" t="s">
        <v>337</v>
      </c>
      <c r="P43" s="204" t="s">
        <v>337</v>
      </c>
      <c r="Q43" s="379" t="s">
        <v>350</v>
      </c>
      <c r="R43" s="204" t="s">
        <v>353</v>
      </c>
    </row>
    <row r="44" spans="3:31">
      <c r="C44" s="377"/>
      <c r="D44" s="377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</row>
  </sheetData>
  <mergeCells count="13">
    <mergeCell ref="S18:T18"/>
    <mergeCell ref="C25:C32"/>
    <mergeCell ref="C35:C41"/>
    <mergeCell ref="I17:I19"/>
    <mergeCell ref="M16:N16"/>
    <mergeCell ref="B3:D3"/>
    <mergeCell ref="I3:K3"/>
    <mergeCell ref="I4:I10"/>
    <mergeCell ref="C23:D23"/>
    <mergeCell ref="E13:G13"/>
    <mergeCell ref="E14:E20"/>
    <mergeCell ref="I16:K16"/>
    <mergeCell ref="E22:H22"/>
  </mergeCells>
  <conditionalFormatting sqref="S18:T18">
    <cfRule type="containsText" dxfId="1" priority="1" operator="containsText" text="Cumple requisitos">
      <formula>NOT(ISERROR(SEARCH("Cumple requisitos",S18)))</formula>
    </cfRule>
  </conditionalFormatting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Q24"/>
  <sheetViews>
    <sheetView showGridLines="0" topLeftCell="G1" workbookViewId="0">
      <selection activeCell="Q20" sqref="Q20"/>
    </sheetView>
  </sheetViews>
  <sheetFormatPr baseColWidth="10" defaultRowHeight="14.4"/>
  <cols>
    <col min="6" max="6" width="8.77734375" customWidth="1"/>
    <col min="7" max="7" width="20.5546875" customWidth="1"/>
    <col min="8" max="8" width="18" customWidth="1"/>
    <col min="9" max="9" width="16.44140625" customWidth="1"/>
    <col min="11" max="11" width="22.44140625" customWidth="1"/>
    <col min="12" max="12" width="23.21875" customWidth="1"/>
    <col min="13" max="13" width="1.6640625" customWidth="1"/>
    <col min="14" max="14" width="4.6640625" customWidth="1"/>
    <col min="16" max="16" width="17.6640625" customWidth="1"/>
  </cols>
  <sheetData>
    <row r="2" spans="7:17" ht="15" thickBot="1"/>
    <row r="3" spans="7:17" ht="18.600000000000001" thickBot="1">
      <c r="J3" s="294" t="s">
        <v>457</v>
      </c>
      <c r="P3" s="666" t="s">
        <v>618</v>
      </c>
      <c r="Q3" s="667">
        <f>Dosificación!T14</f>
        <v>0.71450435587292582</v>
      </c>
    </row>
    <row r="4" spans="7:17" ht="15" thickBot="1">
      <c r="G4" s="942" t="s">
        <v>488</v>
      </c>
      <c r="H4" s="943"/>
      <c r="I4" s="944"/>
      <c r="J4" s="494">
        <v>1</v>
      </c>
      <c r="K4" s="929" t="str">
        <f>IF(J4&lt;2,"Prefabricado","In situ")</f>
        <v>Prefabricado</v>
      </c>
      <c r="L4" s="930"/>
      <c r="P4" s="668" t="s">
        <v>619</v>
      </c>
      <c r="Q4" s="669">
        <f>Dosificación!T15</f>
        <v>0.93524440910753737</v>
      </c>
    </row>
    <row r="5" spans="7:17" ht="15" thickBot="1">
      <c r="G5" s="939" t="s">
        <v>496</v>
      </c>
      <c r="H5" s="940"/>
      <c r="I5" s="941"/>
      <c r="J5" s="495">
        <v>2</v>
      </c>
      <c r="K5" s="931" t="str">
        <f>IF(J5&lt;2,"Encofrados especiales","Encofrados convencionales")</f>
        <v>Encofrados convencionales</v>
      </c>
      <c r="L5" s="932"/>
      <c r="P5" s="670" t="s">
        <v>620</v>
      </c>
      <c r="Q5" s="671">
        <f>Dosificación!T16</f>
        <v>0.78570552213208578</v>
      </c>
    </row>
    <row r="6" spans="7:17" ht="15" thickBot="1">
      <c r="G6" s="939" t="s">
        <v>503</v>
      </c>
      <c r="H6" s="940"/>
      <c r="I6" s="941"/>
      <c r="J6" s="495">
        <v>2</v>
      </c>
      <c r="K6" s="931" t="str">
        <f>IF(J6&lt;2,"Hormigón autocompactante","Hormigón convencional")</f>
        <v>Hormigón convencional</v>
      </c>
      <c r="L6" s="932"/>
      <c r="P6" s="670" t="s">
        <v>621</v>
      </c>
      <c r="Q6" s="671">
        <f>Dosificación!T17</f>
        <v>0.42375256212200973</v>
      </c>
    </row>
    <row r="7" spans="7:17" ht="15" thickBot="1">
      <c r="G7" s="939" t="s">
        <v>504</v>
      </c>
      <c r="H7" s="940"/>
      <c r="I7" s="941"/>
      <c r="J7" s="495">
        <v>2</v>
      </c>
      <c r="K7" s="935" t="str">
        <f>IF(J7&lt;2,"Con tratamientos superficiales","Sin tratamientos superficiales")</f>
        <v>Sin tratamientos superficiales</v>
      </c>
      <c r="L7" s="936"/>
      <c r="P7" s="742" t="str">
        <f>Dosificación!S18</f>
        <v>Cumple requisitos</v>
      </c>
      <c r="Q7" s="742"/>
    </row>
    <row r="8" spans="7:17" ht="15" thickBot="1">
      <c r="G8" s="939" t="s">
        <v>489</v>
      </c>
      <c r="H8" s="940"/>
      <c r="I8" s="941"/>
      <c r="J8" s="494">
        <v>2</v>
      </c>
      <c r="K8" s="937" t="str">
        <f>IF(J8&lt;2,"Con bombeo","Sin bombeo")</f>
        <v>Sin bombeo</v>
      </c>
      <c r="L8" s="938"/>
    </row>
    <row r="9" spans="7:17" ht="15" thickBot="1">
      <c r="G9" s="939" t="s">
        <v>490</v>
      </c>
      <c r="H9" s="940"/>
      <c r="I9" s="941"/>
      <c r="J9" s="494">
        <v>2</v>
      </c>
      <c r="K9" s="937" t="str">
        <f>IF(J9&lt;2,"Se utiliza grúa","No se utiliza grúa")</f>
        <v>No se utiliza grúa</v>
      </c>
      <c r="L9" s="938"/>
    </row>
    <row r="10" spans="7:17" ht="15" thickBot="1">
      <c r="G10" s="939" t="s">
        <v>214</v>
      </c>
      <c r="H10" s="940"/>
      <c r="I10" s="941"/>
      <c r="J10" s="494">
        <v>5</v>
      </c>
      <c r="K10" s="462">
        <f>J10</f>
        <v>5</v>
      </c>
      <c r="L10" s="342" t="s">
        <v>497</v>
      </c>
    </row>
    <row r="11" spans="7:17" ht="15" thickBot="1">
      <c r="G11" s="939" t="s">
        <v>634</v>
      </c>
      <c r="H11" s="940"/>
      <c r="I11" s="941"/>
      <c r="J11" s="558">
        <f>IF(J10&gt;150,2,1)</f>
        <v>1</v>
      </c>
      <c r="K11" s="929" t="str">
        <f>IF(J11&lt;2,"Corta distancia","Larga distancia")</f>
        <v>Corta distancia</v>
      </c>
      <c r="L11" s="930"/>
    </row>
    <row r="12" spans="7:17" ht="15" thickBot="1">
      <c r="G12" s="939" t="s">
        <v>491</v>
      </c>
      <c r="H12" s="940"/>
      <c r="I12" s="941"/>
      <c r="J12" s="495">
        <v>2</v>
      </c>
      <c r="K12" s="937" t="str">
        <f>IF(J12&lt;2,"Existe página web de información","No hay página web de información")</f>
        <v>No hay página web de información</v>
      </c>
      <c r="L12" s="938"/>
    </row>
    <row r="13" spans="7:17" ht="15" thickBot="1">
      <c r="G13" s="939" t="s">
        <v>494</v>
      </c>
      <c r="H13" s="940"/>
      <c r="I13" s="941"/>
      <c r="J13" s="495">
        <v>30</v>
      </c>
      <c r="K13" s="463">
        <f>J13</f>
        <v>30</v>
      </c>
      <c r="L13" s="365" t="s">
        <v>498</v>
      </c>
      <c r="M13" s="956" t="str">
        <f>IF(K13&lt;21,"No requiere ensayo",IF(J13&gt;40,"Superior al 40%","Requiere ensayo"))</f>
        <v>Requiere ensayo</v>
      </c>
      <c r="N13" s="854"/>
      <c r="O13" s="854"/>
    </row>
    <row r="14" spans="7:17" ht="15" thickBot="1">
      <c r="G14" s="939" t="s">
        <v>519</v>
      </c>
      <c r="H14" s="940"/>
      <c r="I14" s="941"/>
      <c r="J14" s="495">
        <v>1</v>
      </c>
      <c r="K14" s="937" t="str">
        <f>IF(J14&lt;2,"Hay medidas de aprovechamiento del agua","No hay medidas para aprovechar el agua")</f>
        <v>Hay medidas de aprovechamiento del agua</v>
      </c>
      <c r="L14" s="938"/>
    </row>
    <row r="15" spans="7:17" ht="15" thickBot="1">
      <c r="G15" s="939" t="s">
        <v>495</v>
      </c>
      <c r="H15" s="940"/>
      <c r="I15" s="941"/>
      <c r="J15" s="495">
        <v>1</v>
      </c>
      <c r="K15" s="937" t="str">
        <f>IF(J15&lt;2,"Reciclaje o por la empresa o por un gestor","Vertedero")</f>
        <v>Reciclaje o por la empresa o por un gestor</v>
      </c>
      <c r="L15" s="938"/>
    </row>
    <row r="16" spans="7:17" ht="15" thickBot="1">
      <c r="G16" s="939" t="s">
        <v>579</v>
      </c>
      <c r="H16" s="940"/>
      <c r="I16" s="941"/>
      <c r="J16" s="495">
        <v>1</v>
      </c>
      <c r="K16" s="945" t="str">
        <f>IF(J16=1,"Cemento con certificado","Cemento sin certificado")</f>
        <v>Cemento con certificado</v>
      </c>
      <c r="L16" s="938"/>
      <c r="M16" s="946">
        <f>IF(AND(Condiciones!J16=1,Condiciones!J17=1),100,IF(Condiciones!J16=1,50,IF(Condiciones!J17=1,30,0)))</f>
        <v>100</v>
      </c>
      <c r="N16" s="947"/>
    </row>
    <row r="17" spans="7:15" ht="15" thickBot="1">
      <c r="G17" s="939" t="s">
        <v>578</v>
      </c>
      <c r="H17" s="940"/>
      <c r="I17" s="941"/>
      <c r="J17" s="495">
        <v>1</v>
      </c>
      <c r="K17" s="937" t="str">
        <f>IF(J17&lt;2,"Acero con certificado","Acero sin certificado")</f>
        <v>Acero con certificado</v>
      </c>
      <c r="L17" s="938"/>
      <c r="M17" s="946"/>
      <c r="N17" s="947"/>
    </row>
    <row r="18" spans="7:15" ht="15" thickBot="1">
      <c r="G18" s="953" t="s">
        <v>520</v>
      </c>
      <c r="H18" s="954"/>
      <c r="I18" s="955"/>
      <c r="J18" s="495">
        <v>1</v>
      </c>
      <c r="K18" s="929" t="str">
        <f>IF(J18&lt;2,"Hay dispositivos para minimizar impactos en el entorno","No hay dispositivos")</f>
        <v>Hay dispositivos para minimizar impactos en el entorno</v>
      </c>
      <c r="L18" s="930"/>
    </row>
    <row r="19" spans="7:15" ht="15" thickBot="1">
      <c r="G19" s="496"/>
      <c r="H19" s="933" t="s">
        <v>501</v>
      </c>
      <c r="I19" s="934"/>
      <c r="J19" s="495">
        <v>2</v>
      </c>
      <c r="K19" s="931" t="str">
        <f>IF(J18&lt;2,IF(J19&lt;2,"Se utilizan aspersores","No se utilizan aspersores"),"No se utilizan aspersores")</f>
        <v>No se utilizan aspersores</v>
      </c>
      <c r="L19" s="932"/>
      <c r="M19">
        <f>IF(J19&lt;2,1,0)</f>
        <v>0</v>
      </c>
    </row>
    <row r="20" spans="7:15" ht="15" thickBot="1">
      <c r="G20" s="497"/>
      <c r="H20" s="933" t="s">
        <v>500</v>
      </c>
      <c r="I20" s="934"/>
      <c r="J20" s="495">
        <v>1</v>
      </c>
      <c r="K20" s="931" t="str">
        <f>IF(J18&lt;2,IF(J20&lt;2,"Se utilizan medidas para minimizar el ruido","No se hay medidas para minimizar el ruido"),"No hay medidas para minimizar el ruido")</f>
        <v>Se utilizan medidas para minimizar el ruido</v>
      </c>
      <c r="L20" s="932"/>
      <c r="M20">
        <f t="shared" ref="M20:M24" si="0">IF(J20&lt;2,1,0)</f>
        <v>1</v>
      </c>
      <c r="N20">
        <f>IF(J18&lt;2,SUM(M19:M22),0)</f>
        <v>2</v>
      </c>
      <c r="O20" t="s">
        <v>511</v>
      </c>
    </row>
    <row r="21" spans="7:15" ht="15" thickBot="1">
      <c r="G21" s="497"/>
      <c r="H21" s="933" t="s">
        <v>499</v>
      </c>
      <c r="I21" s="934"/>
      <c r="J21" s="495">
        <v>2</v>
      </c>
      <c r="K21" s="931" t="str">
        <f>IF(J18&lt;2,IF(J21&lt;2,"Hay dispositivos para minimizar los olores","No hay dispositivos para minimizar los olores"),"No hay dispositivos para minimizar los olores")</f>
        <v>No hay dispositivos para minimizar los olores</v>
      </c>
      <c r="L21" s="932"/>
      <c r="M21">
        <f t="shared" si="0"/>
        <v>0</v>
      </c>
    </row>
    <row r="22" spans="7:15" ht="15" thickBot="1">
      <c r="G22" s="497"/>
      <c r="H22" s="951" t="s">
        <v>502</v>
      </c>
      <c r="I22" s="952"/>
      <c r="J22" s="495">
        <v>1</v>
      </c>
      <c r="K22" s="935" t="str">
        <f>IF(J18&lt;2,IF(J22&lt;2,"Se utilizan papeleras","No se utilizan papeleras"),"No se utilizan papeleras")</f>
        <v>Se utilizan papeleras</v>
      </c>
      <c r="L22" s="936"/>
      <c r="M22">
        <f t="shared" si="0"/>
        <v>1</v>
      </c>
    </row>
    <row r="23" spans="7:15" ht="15" thickBot="1">
      <c r="G23" s="939" t="s">
        <v>584</v>
      </c>
      <c r="H23" s="940"/>
      <c r="I23" s="941"/>
      <c r="J23" s="498">
        <v>1</v>
      </c>
      <c r="K23" s="945" t="str">
        <f>IF(J23=1,"Posse certificado OHSAS","No posee certificado OHSAS")</f>
        <v>Posse certificado OHSAS</v>
      </c>
      <c r="L23" s="938"/>
      <c r="M23">
        <f t="shared" si="0"/>
        <v>1</v>
      </c>
    </row>
    <row r="24" spans="7:15" ht="15" thickBot="1">
      <c r="G24" s="948" t="str">
        <f>IF(J4=1,"¿Certificado OHSAS de la empresa de prefabricados?","¿Certificado OHSAS del subcontratista de HA?")</f>
        <v>¿Certificado OHSAS de la empresa de prefabricados?</v>
      </c>
      <c r="H24" s="949"/>
      <c r="I24" s="950"/>
      <c r="J24" s="498">
        <v>1</v>
      </c>
      <c r="K24" s="945" t="str">
        <f>IF(J24=1,"Posse certificado OHSAS","No posee certificado OHSAS")</f>
        <v>Posse certificado OHSAS</v>
      </c>
      <c r="L24" s="938"/>
      <c r="M24">
        <f t="shared" si="0"/>
        <v>1</v>
      </c>
    </row>
  </sheetData>
  <mergeCells count="43">
    <mergeCell ref="P7:Q7"/>
    <mergeCell ref="K16:L16"/>
    <mergeCell ref="M16:N17"/>
    <mergeCell ref="G24:I24"/>
    <mergeCell ref="G23:I23"/>
    <mergeCell ref="K23:L23"/>
    <mergeCell ref="K24:L24"/>
    <mergeCell ref="K22:L22"/>
    <mergeCell ref="K17:L17"/>
    <mergeCell ref="K18:L18"/>
    <mergeCell ref="H22:I22"/>
    <mergeCell ref="G17:I17"/>
    <mergeCell ref="G18:I18"/>
    <mergeCell ref="M13:O13"/>
    <mergeCell ref="K15:L15"/>
    <mergeCell ref="K14:L14"/>
    <mergeCell ref="G4:I4"/>
    <mergeCell ref="G8:I8"/>
    <mergeCell ref="G6:I6"/>
    <mergeCell ref="G7:I7"/>
    <mergeCell ref="G16:I16"/>
    <mergeCell ref="G10:I10"/>
    <mergeCell ref="G11:I11"/>
    <mergeCell ref="G15:I15"/>
    <mergeCell ref="G14:I14"/>
    <mergeCell ref="G13:I13"/>
    <mergeCell ref="G12:I12"/>
    <mergeCell ref="K4:L4"/>
    <mergeCell ref="K5:L5"/>
    <mergeCell ref="H19:I19"/>
    <mergeCell ref="H20:I20"/>
    <mergeCell ref="H21:I21"/>
    <mergeCell ref="K6:L6"/>
    <mergeCell ref="K7:L7"/>
    <mergeCell ref="K8:L8"/>
    <mergeCell ref="K9:L9"/>
    <mergeCell ref="K11:L11"/>
    <mergeCell ref="K12:L12"/>
    <mergeCell ref="K19:L19"/>
    <mergeCell ref="K20:L20"/>
    <mergeCell ref="K21:L21"/>
    <mergeCell ref="G9:I9"/>
    <mergeCell ref="G5:I5"/>
  </mergeCells>
  <conditionalFormatting sqref="P7:Q7">
    <cfRule type="containsText" dxfId="0" priority="1" operator="containsText" text="Cumple requisitos">
      <formula>NOT(ISERROR(SEARCH("Cumple requisitos",P7)))</formula>
    </cfRule>
  </conditionalFormatting>
  <pageMargins left="0.7" right="0.7" top="0.75" bottom="0.75" header="0.3" footer="0.3"/>
  <ignoredErrors>
    <ignoredError sqref="K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topLeftCell="C1" zoomScale="80" zoomScaleNormal="80" workbookViewId="0">
      <selection activeCell="M69" sqref="M69"/>
    </sheetView>
  </sheetViews>
  <sheetFormatPr baseColWidth="10" defaultRowHeight="14.4"/>
  <cols>
    <col min="1" max="1" width="12.77734375" customWidth="1"/>
    <col min="2" max="2" width="21.21875" customWidth="1"/>
    <col min="3" max="3" width="18.44140625" customWidth="1"/>
    <col min="5" max="5" width="13.21875" customWidth="1"/>
    <col min="7" max="7" width="22.109375" customWidth="1"/>
    <col min="8" max="8" width="14.21875" bestFit="1" customWidth="1"/>
    <col min="9" max="9" width="30.33203125" bestFit="1" customWidth="1"/>
    <col min="10" max="10" width="1.88671875" customWidth="1"/>
    <col min="11" max="11" width="20.21875" customWidth="1"/>
    <col min="12" max="12" width="18.88671875" customWidth="1"/>
    <col min="13" max="13" width="15.6640625" customWidth="1"/>
    <col min="14" max="14" width="17.44140625" customWidth="1"/>
    <col min="15" max="15" width="14.5546875" customWidth="1"/>
    <col min="17" max="17" width="12.21875" customWidth="1"/>
    <col min="18" max="18" width="11.77734375" customWidth="1"/>
  </cols>
  <sheetData>
    <row r="1" spans="1:23">
      <c r="A1" s="111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06"/>
    </row>
    <row r="2" spans="1:23">
      <c r="A2" s="112"/>
      <c r="R2" s="104"/>
      <c r="S2" s="104"/>
      <c r="T2" s="104"/>
      <c r="U2" s="104"/>
      <c r="V2" s="115"/>
    </row>
    <row r="3" spans="1:23">
      <c r="E3" s="104"/>
      <c r="F3" s="104"/>
      <c r="G3" s="104"/>
      <c r="L3" s="104"/>
      <c r="M3" s="104"/>
      <c r="N3" s="104"/>
      <c r="O3" s="104"/>
      <c r="P3" s="104"/>
      <c r="Q3" s="104"/>
      <c r="R3" s="104"/>
      <c r="S3" s="104"/>
      <c r="W3" s="104"/>
    </row>
    <row r="4" spans="1:23" ht="15" thickBot="1"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W4" s="104"/>
    </row>
    <row r="5" spans="1:23" ht="18.600000000000001" thickBot="1">
      <c r="A5" s="961" t="s">
        <v>220</v>
      </c>
      <c r="B5" s="962"/>
      <c r="C5" s="174"/>
      <c r="G5" s="959" t="s">
        <v>111</v>
      </c>
      <c r="H5" s="960"/>
      <c r="I5" s="603">
        <f>(Dosificación!C6/1000)*(Dosificación!C5/1000)*Dosificación!C4*Dosificación!C7-I63</f>
        <v>1572.6195960223499</v>
      </c>
      <c r="J5" s="104"/>
      <c r="K5" s="104"/>
      <c r="L5" s="104"/>
      <c r="M5" s="104"/>
      <c r="N5" s="104"/>
      <c r="O5" s="104"/>
      <c r="P5" s="104"/>
      <c r="Q5" s="104"/>
      <c r="W5" s="104"/>
    </row>
    <row r="6" spans="1:23" ht="18.600000000000001" thickBot="1">
      <c r="A6" s="963" t="s">
        <v>146</v>
      </c>
      <c r="B6" s="964"/>
      <c r="C6" s="604">
        <f t="shared" ref="C6:C11" si="0">SUM(K9:Q9,K20:M20,K31:L31,K42:O42,K53:L53,I64)</f>
        <v>2070.9453198651477</v>
      </c>
      <c r="G6" s="464"/>
      <c r="H6" s="75"/>
      <c r="I6" s="104"/>
      <c r="J6" s="104"/>
      <c r="K6" s="104"/>
      <c r="L6" s="104"/>
      <c r="M6" s="104"/>
      <c r="N6" s="104"/>
      <c r="O6" s="104"/>
      <c r="P6" s="104"/>
      <c r="Q6" s="104"/>
      <c r="W6" s="104"/>
    </row>
    <row r="7" spans="1:23" ht="20.399999999999999" thickBot="1">
      <c r="A7" s="957" t="s">
        <v>458</v>
      </c>
      <c r="B7" s="958"/>
      <c r="C7" s="605">
        <f t="shared" si="0"/>
        <v>0.93599361772319356</v>
      </c>
      <c r="G7" s="465"/>
      <c r="H7" s="121"/>
      <c r="I7" s="265" t="s">
        <v>423</v>
      </c>
      <c r="J7" s="266"/>
      <c r="K7" s="102" t="s">
        <v>133</v>
      </c>
      <c r="L7" s="72" t="s">
        <v>134</v>
      </c>
      <c r="M7" s="72" t="s">
        <v>135</v>
      </c>
      <c r="N7" s="72" t="s">
        <v>129</v>
      </c>
      <c r="O7" s="72" t="s">
        <v>130</v>
      </c>
      <c r="P7" s="72" t="s">
        <v>131</v>
      </c>
      <c r="Q7" s="72" t="s">
        <v>132</v>
      </c>
      <c r="W7" s="104"/>
    </row>
    <row r="8" spans="1:23" ht="18">
      <c r="A8" s="957" t="s">
        <v>148</v>
      </c>
      <c r="B8" s="958"/>
      <c r="C8" s="605">
        <f t="shared" si="0"/>
        <v>2843.2650293593906</v>
      </c>
      <c r="G8" s="465"/>
      <c r="H8" s="122"/>
      <c r="I8" s="267" t="s">
        <v>115</v>
      </c>
      <c r="J8" s="268"/>
      <c r="K8" s="99">
        <f>Dosificación!G14*Dosificación!C9</f>
        <v>264.28062324187476</v>
      </c>
      <c r="L8" s="99">
        <f>Dosificación!G15*Dosificación!C9</f>
        <v>0</v>
      </c>
      <c r="M8" s="99">
        <f>Dosificación!G16*Dosificación!C9</f>
        <v>0</v>
      </c>
      <c r="N8" s="99">
        <f>Dosificación!G17*Dosificación!C9</f>
        <v>0</v>
      </c>
      <c r="O8" s="99">
        <f>Dosificación!G18*Dosificación!C9</f>
        <v>0</v>
      </c>
      <c r="P8" s="99">
        <f>Dosificación!G19*Dosificación!C9</f>
        <v>0</v>
      </c>
      <c r="Q8" s="99">
        <f>Dosificación!G20*Dosificación!C9</f>
        <v>0</v>
      </c>
      <c r="W8" s="104"/>
    </row>
    <row r="9" spans="1:23" ht="18">
      <c r="A9" s="957" t="s">
        <v>149</v>
      </c>
      <c r="B9" s="958"/>
      <c r="C9" s="605">
        <f t="shared" si="0"/>
        <v>313.44261620301654</v>
      </c>
      <c r="G9" s="465"/>
      <c r="H9" s="119"/>
      <c r="I9" s="612" t="s">
        <v>146</v>
      </c>
      <c r="J9" s="613"/>
      <c r="K9" s="611">
        <f>($K$8/1000)*Datos!F20</f>
        <v>752.90906755377716</v>
      </c>
      <c r="L9" s="611">
        <f>($L$8/1000)*Datos!G20</f>
        <v>0</v>
      </c>
      <c r="M9" s="611">
        <f>($M$8/1000)*Datos!H20</f>
        <v>0</v>
      </c>
      <c r="N9" s="611">
        <f>($N$8/1000)*Datos!I20</f>
        <v>0</v>
      </c>
      <c r="O9" s="611">
        <f>($O$8/1000)*Datos!J20</f>
        <v>0</v>
      </c>
      <c r="P9" s="611">
        <f>($P$8/1000)*Datos!K20</f>
        <v>0</v>
      </c>
      <c r="Q9" s="611">
        <f>($Q$8/1000)*Datos!L20</f>
        <v>0</v>
      </c>
      <c r="W9" s="104"/>
    </row>
    <row r="10" spans="1:23" ht="18">
      <c r="A10" s="957" t="s">
        <v>150</v>
      </c>
      <c r="B10" s="958"/>
      <c r="C10" s="605">
        <f t="shared" si="0"/>
        <v>1214.1782947526945</v>
      </c>
      <c r="G10" s="465"/>
      <c r="H10" s="104"/>
      <c r="I10" s="612" t="s">
        <v>147</v>
      </c>
      <c r="J10" s="613"/>
      <c r="K10" s="611">
        <f>($K$8/1000)*Datos!F21</f>
        <v>0.54100886383844182</v>
      </c>
      <c r="L10" s="611">
        <f>($L$8/1000)*Datos!G21</f>
        <v>0</v>
      </c>
      <c r="M10" s="611">
        <f>($M$8/1000)*Datos!H21</f>
        <v>0</v>
      </c>
      <c r="N10" s="611">
        <f>($N$8/1000)*Datos!I21</f>
        <v>0</v>
      </c>
      <c r="O10" s="611">
        <f>($O$8/1000)*Datos!J21</f>
        <v>0</v>
      </c>
      <c r="P10" s="611">
        <f>($P$8/1000)*Datos!K21</f>
        <v>0</v>
      </c>
      <c r="Q10" s="611">
        <f>($Q$8/1000)*Datos!L21</f>
        <v>0</v>
      </c>
      <c r="W10" s="104"/>
    </row>
    <row r="11" spans="1:23" ht="18">
      <c r="A11" s="957" t="s">
        <v>151</v>
      </c>
      <c r="B11" s="958"/>
      <c r="C11" s="605">
        <f t="shared" si="0"/>
        <v>45.537072598146878</v>
      </c>
      <c r="G11" s="465"/>
      <c r="H11" s="104"/>
      <c r="I11" s="612" t="s">
        <v>148</v>
      </c>
      <c r="J11" s="613"/>
      <c r="K11" s="611">
        <f>($K$8/1000)*Datos!F22</f>
        <v>1352.006812380783</v>
      </c>
      <c r="L11" s="611">
        <f>($L$8/1000)*Datos!G22</f>
        <v>0</v>
      </c>
      <c r="M11" s="611">
        <f>($M$8/1000)*Datos!H22</f>
        <v>0</v>
      </c>
      <c r="N11" s="611">
        <f>($N$8/1000)*Datos!I22</f>
        <v>0</v>
      </c>
      <c r="O11" s="611">
        <f>($O$8/1000)*Datos!J22</f>
        <v>0</v>
      </c>
      <c r="P11" s="611">
        <f>($P$8/1000)*Datos!K22</f>
        <v>0</v>
      </c>
      <c r="Q11" s="611">
        <f>($Q$8/1000)*Datos!L22</f>
        <v>0</v>
      </c>
      <c r="W11" s="104"/>
    </row>
    <row r="12" spans="1:23">
      <c r="G12" s="465"/>
      <c r="H12" s="104"/>
      <c r="I12" s="612" t="s">
        <v>149</v>
      </c>
      <c r="J12" s="613"/>
      <c r="K12" s="611">
        <f>($K$8/1000)*Datos!F23</f>
        <v>218.98292441821746</v>
      </c>
      <c r="L12" s="611">
        <f>($L$8/1000)*Datos!G23</f>
        <v>0</v>
      </c>
      <c r="M12" s="611">
        <f>($M$8/1000)*Datos!H23</f>
        <v>0</v>
      </c>
      <c r="N12" s="611">
        <f>($N$8/1000)*Datos!I23</f>
        <v>0</v>
      </c>
      <c r="O12" s="611">
        <f>($O$8/1000)*Datos!J23</f>
        <v>0</v>
      </c>
      <c r="P12" s="611">
        <f>($P$8/1000)*Datos!K23</f>
        <v>0</v>
      </c>
      <c r="Q12" s="611">
        <f>($Q$8/1000)*Datos!L23</f>
        <v>0</v>
      </c>
      <c r="W12" s="104"/>
    </row>
    <row r="13" spans="1:23">
      <c r="G13" s="465"/>
      <c r="H13" s="104"/>
      <c r="I13" s="612" t="s">
        <v>150</v>
      </c>
      <c r="J13" s="613"/>
      <c r="K13" s="611">
        <f>($K$8/1000)*Datos!F24</f>
        <v>687.52604136373725</v>
      </c>
      <c r="L13" s="611">
        <f>($L$8/1000)*Datos!G24</f>
        <v>0</v>
      </c>
      <c r="M13" s="611">
        <f>($M$8/1000)*Datos!H24</f>
        <v>0</v>
      </c>
      <c r="N13" s="611">
        <f>($N$8/1000)*Datos!I24</f>
        <v>0</v>
      </c>
      <c r="O13" s="611">
        <f>($O$8/1000)*Datos!J24</f>
        <v>0</v>
      </c>
      <c r="P13" s="611">
        <f>($P$8/1000)*Datos!K24</f>
        <v>0</v>
      </c>
      <c r="Q13" s="611">
        <f>($Q$8/1000)*Datos!L24</f>
        <v>0</v>
      </c>
      <c r="W13" s="104"/>
    </row>
    <row r="14" spans="1:23" ht="15" thickBot="1">
      <c r="G14" s="465"/>
      <c r="H14" s="104"/>
      <c r="I14" s="612" t="s">
        <v>151</v>
      </c>
      <c r="J14" s="613"/>
      <c r="K14" s="611">
        <f>($K$8/1000)*Datos!F25</f>
        <v>23.230266782960797</v>
      </c>
      <c r="L14" s="611">
        <f>($L$8/1000)*Datos!G25</f>
        <v>0</v>
      </c>
      <c r="M14" s="611">
        <f>($M$8/1000)*Datos!H25</f>
        <v>0</v>
      </c>
      <c r="N14" s="611">
        <f>($N$8/1000)*Datos!I25</f>
        <v>0</v>
      </c>
      <c r="O14" s="611">
        <f>($O$8/1000)*Datos!J25</f>
        <v>0</v>
      </c>
      <c r="P14" s="611">
        <f>($P$8/1000)*Datos!K25</f>
        <v>0</v>
      </c>
      <c r="Q14" s="611">
        <f>($Q$8/1000)*Datos!L25</f>
        <v>0</v>
      </c>
      <c r="W14" s="104"/>
    </row>
    <row r="15" spans="1:23" ht="15.6">
      <c r="A15" s="976" t="s">
        <v>453</v>
      </c>
      <c r="B15" s="977"/>
      <c r="C15" s="977"/>
      <c r="D15" s="606" t="str">
        <f>IF(Condiciones!J13&gt;0,"Si","No")</f>
        <v>Si</v>
      </c>
      <c r="G15" s="465"/>
      <c r="H15" s="77"/>
      <c r="I15" s="598"/>
      <c r="J15" s="598"/>
      <c r="K15" s="411"/>
      <c r="L15" s="411"/>
      <c r="M15" s="411"/>
      <c r="N15" s="411"/>
      <c r="O15" s="411"/>
      <c r="P15" s="411"/>
      <c r="Q15" s="411"/>
      <c r="W15" s="104"/>
    </row>
    <row r="16" spans="1:23" ht="15.6">
      <c r="A16" s="978" t="s">
        <v>454</v>
      </c>
      <c r="B16" s="979"/>
      <c r="C16" s="979"/>
      <c r="D16" s="607" t="str">
        <f>IF(Condiciones!J14&lt;2,"Si","No")</f>
        <v>Si</v>
      </c>
      <c r="G16" s="46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W16" s="104"/>
    </row>
    <row r="17" spans="1:23" ht="16.2" thickBot="1">
      <c r="A17" s="978" t="s">
        <v>455</v>
      </c>
      <c r="B17" s="979"/>
      <c r="C17" s="979"/>
      <c r="D17" s="607" t="str">
        <f>IF(Condiciones!J15&lt;2,"Si","No")</f>
        <v>Si</v>
      </c>
      <c r="G17" s="465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W17" s="104"/>
    </row>
    <row r="18" spans="1:23" ht="16.2" thickBot="1">
      <c r="A18" s="973" t="s">
        <v>581</v>
      </c>
      <c r="B18" s="974"/>
      <c r="C18" s="975"/>
      <c r="D18" s="608" t="str">
        <f>IF(Condiciones!J16=1,"Si","No")</f>
        <v>Si</v>
      </c>
      <c r="G18" s="465"/>
      <c r="H18" s="97"/>
      <c r="I18" s="265" t="s">
        <v>136</v>
      </c>
      <c r="J18" s="266"/>
      <c r="K18" s="102" t="s">
        <v>198</v>
      </c>
      <c r="L18" s="72" t="s">
        <v>199</v>
      </c>
      <c r="M18" s="72" t="s">
        <v>197</v>
      </c>
      <c r="N18" s="104"/>
      <c r="O18" s="104"/>
      <c r="P18" s="104"/>
      <c r="Q18" s="104"/>
      <c r="W18" s="104"/>
    </row>
    <row r="19" spans="1:23" ht="15.6">
      <c r="A19" s="978" t="s">
        <v>580</v>
      </c>
      <c r="B19" s="979"/>
      <c r="C19" s="979"/>
      <c r="D19" s="607" t="str">
        <f>IF(Condiciones!J17&lt;2,"Si","No")</f>
        <v>Si</v>
      </c>
      <c r="G19" s="465"/>
      <c r="H19" s="74"/>
      <c r="I19" s="267" t="s">
        <v>115</v>
      </c>
      <c r="J19" s="268"/>
      <c r="K19" s="99">
        <f>Dosificación!K17*Dosificación!C9</f>
        <v>772.51259101471089</v>
      </c>
      <c r="L19" s="99">
        <f>Dosificación!K18*Dosificación!C9</f>
        <v>481.12626282495154</v>
      </c>
      <c r="M19" s="99">
        <f>Dosificación!K19*Dosificación!C9</f>
        <v>0</v>
      </c>
      <c r="N19" s="104"/>
      <c r="O19" s="104"/>
      <c r="P19" s="104"/>
      <c r="Q19" s="104"/>
      <c r="W19" s="104"/>
    </row>
    <row r="20" spans="1:23" ht="16.2" thickBot="1">
      <c r="A20" s="970" t="s">
        <v>456</v>
      </c>
      <c r="B20" s="971"/>
      <c r="C20" s="972"/>
      <c r="D20" s="609" t="str">
        <f>IF(Condiciones!J18&lt;2,"Si","No")</f>
        <v>Si</v>
      </c>
      <c r="G20" s="465"/>
      <c r="H20" s="104"/>
      <c r="I20" s="612" t="s">
        <v>146</v>
      </c>
      <c r="J20" s="613"/>
      <c r="K20" s="611">
        <f>($K$19/1000)*Datos!F7</f>
        <v>772.6670935329139</v>
      </c>
      <c r="L20" s="611">
        <f>($L$19/1000)*Datos!I7</f>
        <v>501.33356586359946</v>
      </c>
      <c r="M20" s="611">
        <f>($M$19/1000)*Datos!J7</f>
        <v>0</v>
      </c>
      <c r="N20" s="104"/>
      <c r="O20" s="104"/>
      <c r="P20" s="104"/>
      <c r="Q20" s="104"/>
      <c r="W20" s="104"/>
    </row>
    <row r="21" spans="1:23" ht="16.2">
      <c r="A21" s="112"/>
      <c r="G21" s="465"/>
      <c r="H21" s="104"/>
      <c r="I21" s="612" t="s">
        <v>147</v>
      </c>
      <c r="J21" s="613"/>
      <c r="K21" s="611">
        <f>($K$19/1000)*Datos!F8</f>
        <v>7.0993907114251936E-2</v>
      </c>
      <c r="L21" s="611">
        <f>($L$19/1000)*Datos!I8</f>
        <v>5.9274755580034026E-2</v>
      </c>
      <c r="M21" s="611">
        <f>($M$19/1000)*Datos!J8</f>
        <v>0</v>
      </c>
      <c r="N21" s="104"/>
      <c r="O21" s="104"/>
      <c r="P21" s="104"/>
      <c r="Q21" s="104"/>
      <c r="W21" s="104"/>
    </row>
    <row r="22" spans="1:23" ht="15" thickBot="1">
      <c r="A22" s="112"/>
      <c r="G22" s="465"/>
      <c r="H22" s="104"/>
      <c r="I22" s="612" t="s">
        <v>148</v>
      </c>
      <c r="J22" s="613"/>
      <c r="K22" s="611">
        <f>($K$19/1000)*Datos!F9</f>
        <v>29.355478458559016</v>
      </c>
      <c r="L22" s="611">
        <f>($L$19/1000)*Datos!I9</f>
        <v>17.248376522274512</v>
      </c>
      <c r="M22" s="611">
        <f>($M$19/1000)*Datos!J9</f>
        <v>0</v>
      </c>
      <c r="N22" s="104"/>
      <c r="O22" s="104"/>
      <c r="P22" s="104"/>
      <c r="Q22" s="104"/>
      <c r="W22" s="104"/>
    </row>
    <row r="23" spans="1:23" ht="18.600000000000001" thickBot="1">
      <c r="A23" s="112"/>
      <c r="E23" s="264" t="s">
        <v>143</v>
      </c>
      <c r="F23" s="610">
        <f>I5+I63</f>
        <v>1650</v>
      </c>
      <c r="G23" s="108"/>
      <c r="H23" s="104"/>
      <c r="I23" s="612" t="s">
        <v>149</v>
      </c>
      <c r="J23" s="613"/>
      <c r="K23" s="611">
        <f>($K$19/1000)*Datos!F10</f>
        <v>1.9544568552672186</v>
      </c>
      <c r="L23" s="611">
        <f>($L$19/1000)*Datos!I10</f>
        <v>1.1595142934081333</v>
      </c>
      <c r="M23" s="611">
        <f>($M$19/1000)*Datos!J10</f>
        <v>0</v>
      </c>
      <c r="N23" s="104"/>
      <c r="O23" s="104"/>
      <c r="P23" s="104"/>
      <c r="Q23" s="104"/>
      <c r="W23" s="104"/>
    </row>
    <row r="24" spans="1:23">
      <c r="A24" s="112"/>
      <c r="E24" s="104"/>
      <c r="F24" s="105"/>
      <c r="G24" s="108"/>
      <c r="H24" s="104"/>
      <c r="I24" s="612" t="s">
        <v>150</v>
      </c>
      <c r="J24" s="613"/>
      <c r="K24" s="611">
        <f>($K$19/1000)*Datos!F11</f>
        <v>6.2882524908597475</v>
      </c>
      <c r="L24" s="611">
        <f>($L$19/1000)*Datos!I11</f>
        <v>4.6813585372867781</v>
      </c>
      <c r="M24" s="611">
        <f>($M$19/1000)*Datos!J11</f>
        <v>0</v>
      </c>
      <c r="N24" s="104"/>
      <c r="O24" s="104"/>
      <c r="P24" s="104"/>
      <c r="Q24" s="104"/>
      <c r="W24" s="104"/>
    </row>
    <row r="25" spans="1:23">
      <c r="A25" s="112"/>
      <c r="E25" s="104"/>
      <c r="F25" s="108"/>
      <c r="G25" s="108"/>
      <c r="H25" s="104"/>
      <c r="I25" s="612" t="s">
        <v>151</v>
      </c>
      <c r="J25" s="613"/>
      <c r="K25" s="611">
        <f>($K$19/1000)*Datos!F12</f>
        <v>6.9526133191323974E-2</v>
      </c>
      <c r="L25" s="611">
        <f>($L$19/1000)*Datos!I12</f>
        <v>5.7735151538994181E-2</v>
      </c>
      <c r="M25" s="611">
        <f>($M$19/1000)*Datos!J12</f>
        <v>0</v>
      </c>
      <c r="N25" s="104"/>
      <c r="O25" s="104"/>
      <c r="P25" s="104"/>
      <c r="Q25" s="104"/>
      <c r="W25" s="104"/>
    </row>
    <row r="26" spans="1:23">
      <c r="A26" s="112"/>
      <c r="E26" s="104"/>
      <c r="F26" s="108"/>
      <c r="G26" s="108"/>
      <c r="H26" s="104"/>
      <c r="I26" s="598"/>
      <c r="J26" s="598"/>
      <c r="K26" s="411"/>
      <c r="L26" s="411"/>
      <c r="M26" s="411"/>
      <c r="N26" s="104"/>
      <c r="O26" s="104"/>
      <c r="P26" s="104"/>
      <c r="Q26" s="104"/>
      <c r="W26" s="104"/>
    </row>
    <row r="27" spans="1:23" ht="18" customHeight="1">
      <c r="A27" s="112"/>
      <c r="E27" s="104"/>
      <c r="F27" s="108"/>
      <c r="G27" s="108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W27" s="104"/>
    </row>
    <row r="28" spans="1:23" ht="17.399999999999999" customHeight="1" thickBot="1">
      <c r="A28" s="112"/>
      <c r="E28" s="104"/>
      <c r="F28" s="108"/>
      <c r="G28" s="108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W28" s="104"/>
    </row>
    <row r="29" spans="1:23" ht="16.8" customHeight="1" thickBot="1">
      <c r="A29" s="112"/>
      <c r="E29" s="104"/>
      <c r="F29" s="108"/>
      <c r="G29" s="104"/>
      <c r="H29" s="97"/>
      <c r="I29" s="265" t="s">
        <v>425</v>
      </c>
      <c r="J29" s="266"/>
      <c r="K29" s="102" t="s">
        <v>141</v>
      </c>
      <c r="L29" s="72" t="s">
        <v>205</v>
      </c>
      <c r="M29" s="104"/>
      <c r="N29" s="104"/>
      <c r="O29" s="104"/>
      <c r="P29" s="104"/>
      <c r="Q29" s="104"/>
      <c r="W29" s="104"/>
    </row>
    <row r="30" spans="1:23" ht="16.8" customHeight="1">
      <c r="A30" s="112"/>
      <c r="E30" s="104"/>
      <c r="F30" s="108"/>
      <c r="G30" s="104"/>
      <c r="H30" s="76"/>
      <c r="I30" s="267" t="s">
        <v>257</v>
      </c>
      <c r="J30" s="268"/>
      <c r="K30" s="99">
        <f>Dosificación!N17*Dosificación!C9</f>
        <v>107.06753454414414</v>
      </c>
      <c r="L30" s="99">
        <f>Dosificación!N18*Dosificación!C9</f>
        <v>3.2526845937461508</v>
      </c>
      <c r="M30" s="104"/>
      <c r="N30" s="104"/>
      <c r="O30" s="104"/>
      <c r="P30" s="104"/>
      <c r="Q30" s="104"/>
      <c r="W30" s="104"/>
    </row>
    <row r="31" spans="1:23">
      <c r="A31" s="112"/>
      <c r="E31" s="104"/>
      <c r="F31" s="108"/>
      <c r="G31" s="104"/>
      <c r="H31" s="119"/>
      <c r="I31" s="612" t="s">
        <v>146</v>
      </c>
      <c r="J31" s="613"/>
      <c r="K31" s="611">
        <f>($K$30/1000)*Datos!G36</f>
        <v>0</v>
      </c>
      <c r="L31" s="611">
        <f>($L$30/1000)*Datos!F36</f>
        <v>0.2963195664902743</v>
      </c>
      <c r="M31" s="104"/>
      <c r="N31" s="104"/>
      <c r="O31" s="104"/>
      <c r="P31" s="104"/>
      <c r="Q31" s="104"/>
      <c r="W31" s="104"/>
    </row>
    <row r="32" spans="1:23" ht="16.2">
      <c r="A32" s="112"/>
      <c r="E32" s="104"/>
      <c r="F32" s="108"/>
      <c r="G32" s="104"/>
      <c r="H32" s="119"/>
      <c r="I32" s="612" t="s">
        <v>147</v>
      </c>
      <c r="J32" s="613"/>
      <c r="K32" s="611">
        <f>($K$30/1000)*Datos!G37</f>
        <v>0.10706753454414414</v>
      </c>
      <c r="L32" s="611">
        <f>($L$30/1000)*Datos!F37</f>
        <v>2.4069865993721518E-2</v>
      </c>
      <c r="M32" s="104"/>
      <c r="N32" s="104"/>
      <c r="O32" s="104"/>
      <c r="P32" s="104"/>
      <c r="Q32" s="104"/>
      <c r="W32" s="104"/>
    </row>
    <row r="33" spans="1:23">
      <c r="A33" s="112"/>
      <c r="D33" s="104"/>
      <c r="E33" s="104"/>
      <c r="F33" s="108"/>
      <c r="G33" s="104"/>
      <c r="H33" s="119"/>
      <c r="I33" s="612" t="s">
        <v>148</v>
      </c>
      <c r="J33" s="613"/>
      <c r="K33" s="611">
        <f>($K$30/1000)*Datos!G38</f>
        <v>0.53533767272072064</v>
      </c>
      <c r="L33" s="611">
        <f>($L$30/1000)*Datos!F38</f>
        <v>93.862719321732669</v>
      </c>
      <c r="M33" s="104"/>
      <c r="N33" s="104"/>
      <c r="O33" s="104"/>
      <c r="P33" s="104"/>
      <c r="Q33" s="104"/>
      <c r="W33" s="104"/>
    </row>
    <row r="34" spans="1:23">
      <c r="A34" s="112"/>
      <c r="D34" s="104"/>
      <c r="E34" s="104"/>
      <c r="F34" s="104"/>
      <c r="G34" s="119"/>
      <c r="H34" s="119"/>
      <c r="I34" s="612" t="s">
        <v>149</v>
      </c>
      <c r="J34" s="613"/>
      <c r="K34" s="611">
        <f>($K$30/1000)*Datos!G39</f>
        <v>3.5439353934111711E-2</v>
      </c>
      <c r="L34" s="611">
        <f>($L$30/1000)*Datos!F39</f>
        <v>8.8860090416551092</v>
      </c>
      <c r="M34" s="104"/>
      <c r="N34" s="104"/>
      <c r="O34" s="104"/>
      <c r="P34" s="104"/>
      <c r="Q34" s="104"/>
      <c r="W34" s="104"/>
    </row>
    <row r="35" spans="1:23">
      <c r="A35" s="112"/>
      <c r="D35" s="104"/>
      <c r="E35" s="104"/>
      <c r="F35" s="104"/>
      <c r="G35" s="119"/>
      <c r="H35" s="119"/>
      <c r="I35" s="612" t="s">
        <v>150</v>
      </c>
      <c r="J35" s="613"/>
      <c r="K35" s="611">
        <f>($K$30/1000)*Datos!G40</f>
        <v>0.25321471919690092</v>
      </c>
      <c r="L35" s="611">
        <f>($L$30/1000)*Datos!F40</f>
        <v>64.099028946658521</v>
      </c>
      <c r="M35" s="104"/>
      <c r="N35" s="104"/>
      <c r="O35" s="104"/>
      <c r="P35" s="104"/>
      <c r="Q35" s="104"/>
      <c r="W35" s="104"/>
    </row>
    <row r="36" spans="1:23">
      <c r="A36" s="112"/>
      <c r="D36" s="104"/>
      <c r="E36" s="104"/>
      <c r="F36" s="104"/>
      <c r="G36" s="119"/>
      <c r="H36" s="119"/>
      <c r="I36" s="612" t="s">
        <v>151</v>
      </c>
      <c r="J36" s="613"/>
      <c r="K36" s="611">
        <f>($K$30/1000)*Datos!G41</f>
        <v>1.3062239214385584E-2</v>
      </c>
      <c r="L36" s="611">
        <f>($L$30/1000)*Datos!F41</f>
        <v>3.3853941251709938</v>
      </c>
      <c r="M36" s="104"/>
      <c r="N36" s="104"/>
      <c r="O36" s="104"/>
      <c r="P36" s="104"/>
      <c r="Q36" s="104"/>
      <c r="W36" s="104"/>
    </row>
    <row r="37" spans="1:23">
      <c r="A37" s="112"/>
      <c r="D37" s="104"/>
      <c r="E37" s="104"/>
      <c r="F37" s="104"/>
      <c r="G37" s="119"/>
      <c r="H37" s="119"/>
      <c r="I37" s="598"/>
      <c r="J37" s="598"/>
      <c r="K37" s="411"/>
      <c r="L37" s="411"/>
      <c r="M37" s="104"/>
      <c r="N37" s="104"/>
      <c r="O37" s="104"/>
      <c r="P37" s="104"/>
      <c r="Q37" s="104"/>
      <c r="W37" s="104"/>
    </row>
    <row r="38" spans="1:23">
      <c r="A38" s="112"/>
      <c r="D38" s="104"/>
      <c r="E38" s="104"/>
      <c r="F38" s="104"/>
      <c r="G38" s="119"/>
      <c r="H38" s="119"/>
      <c r="I38" s="104"/>
      <c r="J38" s="104"/>
      <c r="K38" s="104"/>
      <c r="L38" s="104"/>
      <c r="M38" s="104"/>
      <c r="N38" s="104"/>
      <c r="O38" s="104"/>
      <c r="P38" s="104"/>
      <c r="Q38" s="104"/>
      <c r="W38" s="104"/>
    </row>
    <row r="39" spans="1:23" ht="15" thickBot="1">
      <c r="A39" s="112"/>
      <c r="D39" s="104"/>
      <c r="E39" s="104"/>
      <c r="F39" s="104"/>
      <c r="G39" s="119"/>
      <c r="H39" s="119"/>
      <c r="I39" s="104"/>
      <c r="J39" s="104"/>
      <c r="K39" s="104"/>
      <c r="L39" s="104"/>
      <c r="M39" s="104"/>
      <c r="N39" s="104"/>
      <c r="O39" s="104"/>
      <c r="P39" s="104"/>
      <c r="Q39" s="104"/>
      <c r="W39" s="104"/>
    </row>
    <row r="40" spans="1:23" ht="16.8" thickBot="1">
      <c r="A40" s="112"/>
      <c r="E40" s="104"/>
      <c r="F40" s="104"/>
      <c r="G40" s="119"/>
      <c r="H40" s="97"/>
      <c r="I40" s="265" t="s">
        <v>424</v>
      </c>
      <c r="J40" s="266"/>
      <c r="K40" s="103" t="s">
        <v>207</v>
      </c>
      <c r="L40" s="98" t="s">
        <v>208</v>
      </c>
      <c r="M40" s="72" t="s">
        <v>209</v>
      </c>
      <c r="N40" s="73" t="s">
        <v>210</v>
      </c>
      <c r="O40" s="72" t="s">
        <v>211</v>
      </c>
      <c r="P40" s="104"/>
      <c r="Q40" s="104"/>
      <c r="W40" s="104"/>
    </row>
    <row r="41" spans="1:23">
      <c r="A41" s="112"/>
      <c r="E41" s="104"/>
      <c r="F41" s="104"/>
      <c r="G41" s="119"/>
      <c r="H41" s="76"/>
      <c r="I41" s="614"/>
      <c r="J41" s="597"/>
      <c r="K41" s="100">
        <f>IF(Condiciones!J4&gt;1,(Dosificación!C6/1000)*(Dosificación!C5/1000)*Dosificación!C4,0)</f>
        <v>0</v>
      </c>
      <c r="L41" s="100">
        <f>IF(Condiciones!J4&gt;1,(2*(Dosificación!C5/1000)*Dosificación!C4)+(2*(Dosificación!C6/1000)*(Dosificación!C5/1000))+(Dosificación!C6/1000)*Dosificación!C4,0)</f>
        <v>0</v>
      </c>
      <c r="M41" s="100">
        <f>IF(Condiciones!J8&gt;1,0,(Dosificación!C6/1000)*(Dosificación!C5/1000)*Dosificación!C4)</f>
        <v>0</v>
      </c>
      <c r="N41" s="100">
        <f>IF(Condiciones!J4&gt;1,0,(Dosificación!C6/1000)*(Dosificación!C5/1000)*Dosificación!C4)</f>
        <v>0.6875</v>
      </c>
      <c r="O41" s="100">
        <f>IF(Condiciones!J9&gt;1,0,(F23/1000))</f>
        <v>0</v>
      </c>
      <c r="P41" s="104"/>
      <c r="Q41" s="104"/>
      <c r="W41" s="104"/>
    </row>
    <row r="42" spans="1:23">
      <c r="A42" s="112"/>
      <c r="E42" s="104"/>
      <c r="F42" s="104"/>
      <c r="G42" s="119"/>
      <c r="H42" s="119"/>
      <c r="I42" s="612" t="s">
        <v>146</v>
      </c>
      <c r="J42" s="613"/>
      <c r="K42" s="611">
        <f>$K$41*Datos!F68</f>
        <v>0</v>
      </c>
      <c r="L42" s="611">
        <f>$L$41*Datos!G68</f>
        <v>0</v>
      </c>
      <c r="M42" s="611">
        <f>$M$41*Datos!H68</f>
        <v>0</v>
      </c>
      <c r="N42" s="611">
        <f>$N$41*Datos!I68</f>
        <v>0</v>
      </c>
      <c r="O42" s="611">
        <f>$O$41*Datos!J68</f>
        <v>0</v>
      </c>
      <c r="P42" s="104"/>
      <c r="Q42" s="104"/>
      <c r="W42" s="104"/>
    </row>
    <row r="43" spans="1:23" ht="16.2">
      <c r="A43" s="112"/>
      <c r="E43" s="104"/>
      <c r="F43" s="104"/>
      <c r="G43" s="119"/>
      <c r="H43" s="119"/>
      <c r="I43" s="612" t="s">
        <v>147</v>
      </c>
      <c r="J43" s="613"/>
      <c r="K43" s="611">
        <f>$K$41*Datos!F69</f>
        <v>0</v>
      </c>
      <c r="L43" s="611">
        <f>$L$41*Datos!G69</f>
        <v>0</v>
      </c>
      <c r="M43" s="611">
        <f>$M$41*Datos!H69</f>
        <v>0</v>
      </c>
      <c r="N43" s="611">
        <f>$N$41*Datos!I69</f>
        <v>6.6412499999999999E-2</v>
      </c>
      <c r="O43" s="611">
        <f>$O$41*Datos!J69</f>
        <v>0</v>
      </c>
      <c r="P43" s="104"/>
      <c r="Q43" s="104"/>
      <c r="W43" s="104"/>
    </row>
    <row r="44" spans="1:23">
      <c r="A44" s="112"/>
      <c r="E44" s="104"/>
      <c r="F44" s="104"/>
      <c r="G44" s="119"/>
      <c r="H44" s="119"/>
      <c r="I44" s="612" t="s">
        <v>148</v>
      </c>
      <c r="J44" s="613"/>
      <c r="K44" s="611">
        <f>$K$41*Datos!F70</f>
        <v>0</v>
      </c>
      <c r="L44" s="611">
        <f>$L$41*Datos!G70</f>
        <v>0</v>
      </c>
      <c r="M44" s="611">
        <f>$M$41*Datos!H70</f>
        <v>0</v>
      </c>
      <c r="N44" s="611">
        <f>$N$41*Datos!I70</f>
        <v>642.99125000000004</v>
      </c>
      <c r="O44" s="611">
        <f>$O$41*Datos!J70</f>
        <v>0</v>
      </c>
      <c r="P44" s="104"/>
      <c r="Q44" s="104"/>
      <c r="W44" s="104"/>
    </row>
    <row r="45" spans="1:23">
      <c r="A45" s="112"/>
      <c r="E45" s="104"/>
      <c r="F45" s="104"/>
      <c r="G45" s="119"/>
      <c r="H45" s="119"/>
      <c r="I45" s="612" t="s">
        <v>149</v>
      </c>
      <c r="J45" s="613"/>
      <c r="K45" s="611">
        <f>$K$41*Datos!F71</f>
        <v>0</v>
      </c>
      <c r="L45" s="611">
        <f>$L$41*Datos!G71</f>
        <v>0</v>
      </c>
      <c r="M45" s="611">
        <f>$M$41*Datos!H71</f>
        <v>0</v>
      </c>
      <c r="N45" s="611">
        <f>$N$41*Datos!I71</f>
        <v>40.748125000000002</v>
      </c>
      <c r="O45" s="611">
        <f>$O$41*Datos!J71</f>
        <v>0</v>
      </c>
      <c r="P45" s="104"/>
      <c r="Q45" s="104"/>
      <c r="W45" s="104"/>
    </row>
    <row r="46" spans="1:23">
      <c r="A46" s="112"/>
      <c r="F46" s="104"/>
      <c r="G46" s="119"/>
      <c r="H46" s="119"/>
      <c r="I46" s="612" t="s">
        <v>150</v>
      </c>
      <c r="J46" s="613"/>
      <c r="K46" s="611">
        <f>$K$41*Datos!F72</f>
        <v>0</v>
      </c>
      <c r="L46" s="611">
        <f>$L$41*Datos!G72</f>
        <v>0</v>
      </c>
      <c r="M46" s="611">
        <f>$M$41*Datos!H72</f>
        <v>0</v>
      </c>
      <c r="N46" s="611">
        <f>$N$41*Datos!I72</f>
        <v>70.234999999999999</v>
      </c>
      <c r="O46" s="611">
        <f>$O$41*Datos!J72</f>
        <v>0</v>
      </c>
      <c r="P46" s="104"/>
      <c r="Q46" s="104"/>
      <c r="W46" s="104"/>
    </row>
    <row r="47" spans="1:23">
      <c r="A47" s="112"/>
      <c r="D47" s="104"/>
      <c r="E47" s="104"/>
      <c r="F47" s="104"/>
      <c r="G47" s="75"/>
      <c r="H47" s="119"/>
      <c r="I47" s="612" t="s">
        <v>151</v>
      </c>
      <c r="J47" s="613"/>
      <c r="K47" s="611">
        <f>$K$41*Datos!F73</f>
        <v>0</v>
      </c>
      <c r="L47" s="611">
        <f>$L$41*Datos!G73</f>
        <v>0</v>
      </c>
      <c r="M47" s="611">
        <f>$M$41*Datos!H73</f>
        <v>0</v>
      </c>
      <c r="N47" s="611">
        <f>$N$41*Datos!I73</f>
        <v>2.6124999999999998</v>
      </c>
      <c r="O47" s="611">
        <f>$O$41*Datos!J73</f>
        <v>0</v>
      </c>
      <c r="P47" s="104"/>
      <c r="Q47" s="104"/>
      <c r="W47" s="104"/>
    </row>
    <row r="48" spans="1:23">
      <c r="A48" s="112"/>
      <c r="D48" s="104"/>
      <c r="E48" s="104"/>
      <c r="F48" s="104"/>
      <c r="G48" s="119"/>
      <c r="H48" s="119"/>
      <c r="I48" s="598"/>
      <c r="J48" s="598"/>
      <c r="K48" s="411"/>
      <c r="L48" s="411"/>
      <c r="M48" s="411"/>
      <c r="N48" s="411"/>
      <c r="O48" s="411"/>
      <c r="P48" s="104"/>
      <c r="Q48" s="104"/>
      <c r="W48" s="104"/>
    </row>
    <row r="49" spans="1:23">
      <c r="A49" s="112"/>
      <c r="D49" s="104"/>
      <c r="E49" s="104"/>
      <c r="F49" s="104"/>
      <c r="G49" s="119"/>
      <c r="H49" s="119"/>
      <c r="I49" s="104"/>
      <c r="J49" s="104"/>
      <c r="K49" s="104"/>
      <c r="L49" s="104"/>
      <c r="M49" s="104"/>
      <c r="N49" s="104"/>
      <c r="O49" s="104"/>
      <c r="P49" s="104"/>
      <c r="Q49" s="104"/>
      <c r="W49" s="104"/>
    </row>
    <row r="50" spans="1:23" ht="15" thickBot="1">
      <c r="A50" s="112"/>
      <c r="D50" s="104"/>
      <c r="E50" s="104"/>
      <c r="F50" s="104"/>
      <c r="G50" s="119"/>
      <c r="H50" s="119"/>
      <c r="I50" s="104"/>
      <c r="J50" s="104"/>
      <c r="K50" s="104"/>
      <c r="L50" s="104"/>
      <c r="M50" s="104"/>
      <c r="N50" s="104"/>
      <c r="O50" s="104"/>
      <c r="P50" s="104"/>
      <c r="Q50" s="104"/>
      <c r="W50" s="104"/>
    </row>
    <row r="51" spans="1:23" ht="15" thickBot="1">
      <c r="A51" s="112"/>
      <c r="D51" s="104"/>
      <c r="E51" s="104"/>
      <c r="F51" s="104"/>
      <c r="G51" s="119"/>
      <c r="H51" s="97"/>
      <c r="I51" s="265" t="s">
        <v>190</v>
      </c>
      <c r="J51" s="269"/>
      <c r="K51" s="72" t="s">
        <v>191</v>
      </c>
      <c r="L51" s="72" t="s">
        <v>192</v>
      </c>
      <c r="M51" s="104"/>
      <c r="N51" s="104"/>
      <c r="O51" s="104"/>
      <c r="P51" s="104"/>
      <c r="Q51" s="104"/>
      <c r="W51" s="104"/>
    </row>
    <row r="52" spans="1:23">
      <c r="A52" s="112"/>
      <c r="D52" s="104"/>
      <c r="E52" s="104"/>
      <c r="F52" s="104"/>
      <c r="G52" s="119"/>
      <c r="H52" s="104"/>
      <c r="I52" s="267" t="s">
        <v>633</v>
      </c>
      <c r="J52" s="268"/>
      <c r="K52" s="100">
        <f>IF(Condiciones!J11&gt;1,(F23/1000)*Condiciones!J10,0)</f>
        <v>0</v>
      </c>
      <c r="L52" s="100">
        <f>IF(Condiciones!J11&gt;1,0,(F23/1000)*Condiciones!J10)</f>
        <v>8.25</v>
      </c>
      <c r="M52" s="64"/>
      <c r="N52" s="104"/>
      <c r="O52" s="104"/>
      <c r="P52" s="104"/>
      <c r="Q52" s="104"/>
      <c r="W52" s="104"/>
    </row>
    <row r="53" spans="1:23">
      <c r="A53" s="112"/>
      <c r="D53" s="104"/>
      <c r="E53" s="104"/>
      <c r="F53" s="104"/>
      <c r="G53" s="119"/>
      <c r="H53" s="104"/>
      <c r="I53" s="612" t="s">
        <v>146</v>
      </c>
      <c r="J53" s="613"/>
      <c r="K53" s="611">
        <f>$K$52*Datos!F84</f>
        <v>0</v>
      </c>
      <c r="L53" s="611">
        <f>$L$52*Datos!G84</f>
        <v>0</v>
      </c>
      <c r="M53" s="104"/>
      <c r="N53" s="104"/>
      <c r="O53" s="104"/>
      <c r="P53" s="104"/>
      <c r="Q53" s="104"/>
      <c r="W53" s="104"/>
    </row>
    <row r="54" spans="1:23" ht="16.2">
      <c r="A54" s="112"/>
      <c r="D54" s="104"/>
      <c r="E54" s="104"/>
      <c r="F54" s="104"/>
      <c r="G54" s="119"/>
      <c r="H54" s="104"/>
      <c r="I54" s="612" t="s">
        <v>147</v>
      </c>
      <c r="J54" s="613"/>
      <c r="K54" s="611">
        <f>$K$52*Datos!F85</f>
        <v>0</v>
      </c>
      <c r="L54" s="611">
        <f>$L$52*Datos!G85</f>
        <v>0</v>
      </c>
      <c r="M54" s="104"/>
      <c r="N54" s="104"/>
      <c r="O54" s="104"/>
      <c r="P54" s="104"/>
      <c r="Q54" s="104"/>
      <c r="W54" s="104"/>
    </row>
    <row r="55" spans="1:23">
      <c r="A55" s="112"/>
      <c r="D55" s="104"/>
      <c r="E55" s="104"/>
      <c r="F55" s="104"/>
      <c r="G55" s="119"/>
      <c r="H55" s="104"/>
      <c r="I55" s="612" t="s">
        <v>148</v>
      </c>
      <c r="J55" s="613"/>
      <c r="K55" s="611">
        <f>$K$52*Datos!F86</f>
        <v>0</v>
      </c>
      <c r="L55" s="611">
        <f>$L$52*Datos!G86</f>
        <v>26.317499999999999</v>
      </c>
      <c r="M55" s="104"/>
      <c r="N55" s="104"/>
      <c r="O55" s="104"/>
      <c r="P55" s="104"/>
      <c r="Q55" s="104"/>
      <c r="W55" s="104"/>
    </row>
    <row r="56" spans="1:23">
      <c r="A56" s="112"/>
      <c r="D56" s="104"/>
      <c r="E56" s="104"/>
      <c r="F56" s="104"/>
      <c r="G56" s="119"/>
      <c r="H56" s="104"/>
      <c r="I56" s="612" t="s">
        <v>149</v>
      </c>
      <c r="J56" s="613"/>
      <c r="K56" s="611">
        <f>$K$52*Datos!F87</f>
        <v>0</v>
      </c>
      <c r="L56" s="611">
        <f>$L$52*Datos!G87</f>
        <v>1.98</v>
      </c>
      <c r="M56" s="104"/>
      <c r="N56" s="104"/>
      <c r="O56" s="104"/>
      <c r="P56" s="104"/>
      <c r="Q56" s="104"/>
      <c r="W56" s="104"/>
    </row>
    <row r="57" spans="1:23">
      <c r="A57" s="112"/>
      <c r="D57" s="104"/>
      <c r="E57" s="104"/>
      <c r="F57" s="104"/>
      <c r="G57" s="119"/>
      <c r="H57" s="104"/>
      <c r="I57" s="612" t="s">
        <v>150</v>
      </c>
      <c r="J57" s="613"/>
      <c r="K57" s="611">
        <f>$K$52*Datos!F88</f>
        <v>0</v>
      </c>
      <c r="L57" s="611">
        <f>$L$52*Datos!G88</f>
        <v>17.407499999999999</v>
      </c>
      <c r="M57" s="104"/>
      <c r="N57" s="104"/>
      <c r="O57" s="104"/>
      <c r="P57" s="104"/>
      <c r="Q57" s="104"/>
      <c r="W57" s="104"/>
    </row>
    <row r="58" spans="1:23">
      <c r="A58" s="112"/>
      <c r="D58" s="104"/>
      <c r="E58" s="104"/>
      <c r="F58" s="104"/>
      <c r="G58" s="119"/>
      <c r="H58" s="104"/>
      <c r="I58" s="612" t="s">
        <v>151</v>
      </c>
      <c r="J58" s="613"/>
      <c r="K58" s="611">
        <f>$K$52*Datos!F89</f>
        <v>0</v>
      </c>
      <c r="L58" s="611">
        <f>$L$52*Datos!G89</f>
        <v>1.7324999999999999</v>
      </c>
      <c r="M58" s="104"/>
      <c r="N58" s="104"/>
      <c r="O58" s="104"/>
      <c r="P58" s="104"/>
      <c r="Q58" s="104"/>
      <c r="W58" s="104"/>
    </row>
    <row r="59" spans="1:23">
      <c r="A59" s="112"/>
      <c r="D59" s="104"/>
      <c r="E59" s="104"/>
      <c r="F59" s="104"/>
      <c r="G59" s="119"/>
      <c r="H59" s="104"/>
      <c r="I59" s="598"/>
      <c r="J59" s="598"/>
      <c r="K59" s="411"/>
      <c r="L59" s="411"/>
      <c r="M59" s="104"/>
      <c r="N59" s="104"/>
      <c r="O59" s="104"/>
      <c r="P59" s="104"/>
      <c r="Q59" s="104"/>
      <c r="W59" s="104"/>
    </row>
    <row r="60" spans="1:23">
      <c r="A60" s="112"/>
      <c r="D60" s="104"/>
      <c r="E60" s="104"/>
      <c r="F60" s="104"/>
      <c r="G60" s="119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W60" s="104"/>
    </row>
    <row r="61" spans="1:23">
      <c r="A61" s="112"/>
      <c r="D61" s="104"/>
      <c r="E61" s="104"/>
      <c r="F61" s="104"/>
      <c r="G61" s="119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W61" s="104"/>
    </row>
    <row r="62" spans="1:23" ht="15" thickBot="1">
      <c r="A62" s="112"/>
      <c r="D62" s="104"/>
      <c r="E62" s="104"/>
      <c r="F62" s="104"/>
      <c r="G62" s="120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W62" s="104"/>
    </row>
    <row r="63" spans="1:23" ht="18.600000000000001" thickBot="1">
      <c r="A63" s="112"/>
      <c r="D63" s="104"/>
      <c r="E63" s="104"/>
      <c r="F63" s="104"/>
      <c r="G63" s="966" t="s">
        <v>112</v>
      </c>
      <c r="H63" s="967"/>
      <c r="I63" s="603">
        <f>'Disp. Armaduras'!G13+'Disp. Armaduras'!K16+'Disp. Armaduras'!Q15+'Disp. Armaduras'!G42+'Disp. Armaduras'!G35</f>
        <v>77.380403977650019</v>
      </c>
      <c r="J63" s="104"/>
      <c r="K63" s="104"/>
      <c r="L63" s="104"/>
      <c r="M63" s="104"/>
      <c r="N63" s="104"/>
      <c r="O63" s="104"/>
      <c r="P63" s="104"/>
      <c r="Q63" s="104"/>
      <c r="W63" s="104"/>
    </row>
    <row r="64" spans="1:23">
      <c r="A64" s="112"/>
      <c r="D64" s="104"/>
      <c r="E64" s="104"/>
      <c r="F64" s="104"/>
      <c r="G64" s="968" t="s">
        <v>146</v>
      </c>
      <c r="H64" s="969"/>
      <c r="I64" s="611">
        <f>(Medioambientales!I63/1000)*Datos!I52</f>
        <v>43.739273348366673</v>
      </c>
      <c r="J64" s="104"/>
      <c r="K64" s="104"/>
      <c r="L64" s="104"/>
      <c r="M64" s="104"/>
      <c r="N64" s="104"/>
      <c r="O64" s="104"/>
      <c r="P64" s="104"/>
      <c r="Q64" s="104"/>
      <c r="W64" s="104"/>
    </row>
    <row r="65" spans="1:23" ht="16.2">
      <c r="A65" s="112"/>
      <c r="D65" s="104"/>
      <c r="E65" s="104"/>
      <c r="F65" s="104"/>
      <c r="G65" s="965" t="s">
        <v>147</v>
      </c>
      <c r="H65" s="938"/>
      <c r="I65" s="611">
        <f>(Medioambientales!I63/1000)*Datos!I53</f>
        <v>6.7166190652600211E-2</v>
      </c>
      <c r="J65" s="104"/>
      <c r="K65" s="104"/>
      <c r="L65" s="104"/>
      <c r="M65" s="104"/>
      <c r="N65" s="104"/>
      <c r="O65" s="104"/>
      <c r="P65" s="104"/>
      <c r="Q65" s="104"/>
      <c r="W65" s="104"/>
    </row>
    <row r="66" spans="1:23">
      <c r="A66" s="112"/>
      <c r="D66" s="104"/>
      <c r="E66" s="104"/>
      <c r="F66" s="104"/>
      <c r="G66" s="965" t="s">
        <v>148</v>
      </c>
      <c r="H66" s="938"/>
      <c r="I66" s="611">
        <f>(Medioambientales!I63/1000)*Datos!I54</f>
        <v>680.94755500332019</v>
      </c>
      <c r="J66" s="104"/>
      <c r="K66" s="104"/>
      <c r="L66" s="104"/>
      <c r="M66" s="104"/>
      <c r="N66" s="104"/>
      <c r="O66" s="104"/>
      <c r="P66" s="104"/>
      <c r="Q66" s="104"/>
      <c r="W66" s="104"/>
    </row>
    <row r="67" spans="1:23">
      <c r="A67" s="112"/>
      <c r="D67" s="104"/>
      <c r="E67" s="104"/>
      <c r="F67" s="104"/>
      <c r="G67" s="965" t="s">
        <v>149</v>
      </c>
      <c r="H67" s="938"/>
      <c r="I67" s="611">
        <f>(Medioambientales!I63/1000)*Datos!I55</f>
        <v>39.696147240534458</v>
      </c>
      <c r="J67" s="104"/>
      <c r="K67" s="104"/>
      <c r="L67" s="104"/>
      <c r="M67" s="104"/>
      <c r="N67" s="104"/>
      <c r="O67" s="104"/>
      <c r="P67" s="104"/>
      <c r="Q67" s="104"/>
      <c r="W67" s="104"/>
    </row>
    <row r="68" spans="1:23">
      <c r="A68" s="112"/>
      <c r="D68" s="104"/>
      <c r="E68" s="104"/>
      <c r="F68" s="104"/>
      <c r="G68" s="965" t="s">
        <v>150</v>
      </c>
      <c r="H68" s="938"/>
      <c r="I68" s="611">
        <f>(Medioambientales!I63/1000)*Datos!I56</f>
        <v>363.68789869495509</v>
      </c>
      <c r="J68" s="104"/>
      <c r="K68" s="104"/>
      <c r="L68" s="104"/>
      <c r="M68" s="104"/>
      <c r="N68" s="104"/>
      <c r="O68" s="104"/>
      <c r="P68" s="104"/>
      <c r="Q68" s="104"/>
      <c r="W68" s="104"/>
    </row>
    <row r="69" spans="1:23">
      <c r="A69" s="112"/>
      <c r="D69" s="104"/>
      <c r="E69" s="104"/>
      <c r="F69" s="104"/>
      <c r="G69" s="965" t="s">
        <v>151</v>
      </c>
      <c r="H69" s="938"/>
      <c r="I69" s="611">
        <f>(Medioambientales!I63/1000)*Datos!I57</f>
        <v>14.436088166070387</v>
      </c>
      <c r="J69" s="104"/>
      <c r="K69" s="104"/>
      <c r="L69" s="104"/>
      <c r="M69" s="104"/>
      <c r="N69" s="104"/>
      <c r="O69" s="104"/>
      <c r="P69" s="104"/>
      <c r="Q69" s="104"/>
      <c r="W69" s="104"/>
    </row>
    <row r="70" spans="1:23">
      <c r="A70" s="112"/>
      <c r="D70" s="104"/>
      <c r="E70" s="104"/>
      <c r="F70" s="104"/>
      <c r="G70" s="965" t="s">
        <v>145</v>
      </c>
      <c r="H70" s="938"/>
      <c r="I70" s="615" t="s">
        <v>196</v>
      </c>
      <c r="J70" s="104"/>
      <c r="K70" s="104"/>
      <c r="L70" s="104"/>
      <c r="M70" s="104"/>
      <c r="N70" s="104"/>
      <c r="O70" s="104"/>
      <c r="P70" s="104"/>
      <c r="Q70" s="104"/>
      <c r="W70" s="104"/>
    </row>
    <row r="71" spans="1:23">
      <c r="A71" s="112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23">
      <c r="A72" s="112"/>
      <c r="D72" s="104"/>
      <c r="V72" s="115"/>
    </row>
    <row r="73" spans="1:23">
      <c r="A73" s="112"/>
      <c r="D73" s="104"/>
      <c r="V73" s="115"/>
    </row>
    <row r="74" spans="1:23">
      <c r="A74" s="112"/>
      <c r="D74" s="104"/>
      <c r="V74" s="115"/>
    </row>
    <row r="75" spans="1:23">
      <c r="A75" s="112"/>
      <c r="D75" s="104"/>
      <c r="V75" s="115"/>
    </row>
    <row r="76" spans="1:23">
      <c r="A76" s="112"/>
      <c r="D76" s="104"/>
      <c r="V76" s="115"/>
    </row>
    <row r="77" spans="1:23">
      <c r="A77" s="112"/>
      <c r="B77" s="104"/>
      <c r="D77" s="104"/>
      <c r="V77" s="115"/>
    </row>
    <row r="78" spans="1:23">
      <c r="A78" s="112"/>
      <c r="B78" s="104"/>
      <c r="V78" s="115"/>
    </row>
    <row r="79" spans="1:23">
      <c r="A79" s="112"/>
      <c r="B79" s="104"/>
      <c r="P79" s="104"/>
      <c r="V79" s="115"/>
    </row>
    <row r="80" spans="1:23">
      <c r="A80" s="112"/>
      <c r="B80" s="104"/>
      <c r="C80" s="104"/>
      <c r="D80" s="104"/>
      <c r="E80" s="104"/>
      <c r="T80" s="104"/>
      <c r="U80" s="104"/>
      <c r="V80" s="115"/>
    </row>
    <row r="81" spans="1:22" ht="15" thickBot="1">
      <c r="A81" s="113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8"/>
    </row>
  </sheetData>
  <mergeCells count="22">
    <mergeCell ref="A20:C20"/>
    <mergeCell ref="A18:C18"/>
    <mergeCell ref="A15:C15"/>
    <mergeCell ref="A16:C16"/>
    <mergeCell ref="A17:C17"/>
    <mergeCell ref="A19:C19"/>
    <mergeCell ref="G69:H69"/>
    <mergeCell ref="G70:H70"/>
    <mergeCell ref="G63:H63"/>
    <mergeCell ref="G68:H68"/>
    <mergeCell ref="G64:H64"/>
    <mergeCell ref="G65:H65"/>
    <mergeCell ref="G66:H66"/>
    <mergeCell ref="G67:H67"/>
    <mergeCell ref="A11:B11"/>
    <mergeCell ref="G5:H5"/>
    <mergeCell ref="A8:B8"/>
    <mergeCell ref="A9:B9"/>
    <mergeCell ref="A10:B10"/>
    <mergeCell ref="A5:B5"/>
    <mergeCell ref="A6:B6"/>
    <mergeCell ref="A7:B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Resultados</vt:lpstr>
      <vt:lpstr>Dimensionamiento</vt:lpstr>
      <vt:lpstr>Fisuración</vt:lpstr>
      <vt:lpstr>Flecha</vt:lpstr>
      <vt:lpstr>Datos</vt:lpstr>
      <vt:lpstr>Disp. Armaduras</vt:lpstr>
      <vt:lpstr>Dosificación</vt:lpstr>
      <vt:lpstr>Condiciones</vt:lpstr>
      <vt:lpstr>Medioambientales</vt:lpstr>
      <vt:lpstr>Económicos</vt:lpstr>
      <vt:lpstr>Sociales</vt:lpstr>
      <vt:lpstr>Máximos y mínimos</vt:lpstr>
      <vt:lpstr>Sostenibilidad</vt:lpstr>
      <vt:lpstr>coef_Seg_Acero</vt:lpstr>
      <vt:lpstr>Coef_Seg_Hormigón</vt:lpstr>
      <vt:lpstr>Def_Lim_Elast_Acero</vt:lpstr>
      <vt:lpstr>Def_Rotura_Hormigon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José</cp:lastModifiedBy>
  <dcterms:created xsi:type="dcterms:W3CDTF">2015-11-24T08:14:35Z</dcterms:created>
  <dcterms:modified xsi:type="dcterms:W3CDTF">2016-06-15T09:57:57Z</dcterms:modified>
</cp:coreProperties>
</file>